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akhlaghi\Downloads\"/>
    </mc:Choice>
  </mc:AlternateContent>
  <xr:revisionPtr revIDLastSave="0" documentId="13_ncr:1_{E1E53976-A093-4402-9AC9-4CC968014A11}" xr6:coauthVersionLast="47" xr6:coauthVersionMax="47" xr10:uidLastSave="{00000000-0000-0000-0000-000000000000}"/>
  <bookViews>
    <workbookView xWindow="-120" yWindow="-120" windowWidth="21840" windowHeight="13140" tabRatio="774" activeTab="1" xr2:uid="{00000000-000D-0000-FFFF-FFFF00000000}"/>
  </bookViews>
  <sheets>
    <sheet name="جدول ورود اطلاعات پرسنل" sheetId="25" r:id="rId1"/>
    <sheet name="جدول محاسبه حقوق و دستمزد" sheetId="21" r:id="rId2"/>
    <sheet name="فیش حقوقی" sheetId="8" r:id="rId3"/>
  </sheets>
  <definedNames>
    <definedName name="_xlnm._FilterDatabase" localSheetId="1" hidden="1">'جدول محاسبه حقوق و دستمزد'!$A$3:$W$15</definedName>
    <definedName name="mazaya1">#REF!</definedName>
    <definedName name="mazaya2">#REF!</definedName>
    <definedName name="_xlnm.Print_Area" localSheetId="1">'جدول محاسبه حقوق و دستمزد'!$A$1:$W$21</definedName>
    <definedName name="_xlnm.Print_Area" localSheetId="0">'جدول ورود اطلاعات پرسنل'!$A$1:$U$11</definedName>
    <definedName name="_xlnm.Print_Area" localSheetId="2">'فیش حقوقی'!$B$1:$H$26</definedName>
    <definedName name="_xlnm.Print_Titles" localSheetId="1">'جدول محاسبه حقوق و دستمزد'!$1:$4</definedName>
    <definedName name="tavieh">'جدول محاسبه حقوق و دستمزد'!$A$1:$W$18</definedName>
  </definedNames>
  <calcPr calcId="191029"/>
</workbook>
</file>

<file path=xl/calcChain.xml><?xml version="1.0" encoding="utf-8"?>
<calcChain xmlns="http://schemas.openxmlformats.org/spreadsheetml/2006/main">
  <c r="C7" i="8" l="1"/>
  <c r="F7" i="8"/>
  <c r="F6" i="8"/>
  <c r="B16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F6" i="21"/>
  <c r="G6" i="21"/>
  <c r="H6" i="21"/>
  <c r="I6" i="21"/>
  <c r="J6" i="21"/>
  <c r="P6" i="21" s="1"/>
  <c r="K6" i="21"/>
  <c r="L6" i="21"/>
  <c r="M6" i="21"/>
  <c r="R6" i="21" s="1"/>
  <c r="N6" i="21"/>
  <c r="O6" i="21"/>
  <c r="F7" i="21"/>
  <c r="G7" i="21"/>
  <c r="H7" i="21"/>
  <c r="P7" i="21" s="1"/>
  <c r="S7" i="21" s="1"/>
  <c r="I7" i="21"/>
  <c r="J7" i="21"/>
  <c r="K7" i="21"/>
  <c r="L7" i="21"/>
  <c r="M7" i="21"/>
  <c r="N7" i="21"/>
  <c r="O7" i="21"/>
  <c r="R7" i="21" s="1"/>
  <c r="F8" i="21"/>
  <c r="G8" i="21"/>
  <c r="H8" i="21"/>
  <c r="Q8" i="21" s="1"/>
  <c r="I8" i="21"/>
  <c r="J8" i="21"/>
  <c r="K8" i="21"/>
  <c r="P8" i="21" s="1"/>
  <c r="S8" i="21" s="1"/>
  <c r="L8" i="21"/>
  <c r="M8" i="21"/>
  <c r="N8" i="21"/>
  <c r="O8" i="21"/>
  <c r="F9" i="21"/>
  <c r="G9" i="21"/>
  <c r="H9" i="21"/>
  <c r="I9" i="21"/>
  <c r="J9" i="21"/>
  <c r="P9" i="21" s="1"/>
  <c r="S9" i="21" s="1"/>
  <c r="K9" i="21"/>
  <c r="R9" i="21" s="1"/>
  <c r="L9" i="21"/>
  <c r="M9" i="21"/>
  <c r="N9" i="21"/>
  <c r="O9" i="21"/>
  <c r="F10" i="21"/>
  <c r="G10" i="21"/>
  <c r="H10" i="21" s="1"/>
  <c r="I10" i="21"/>
  <c r="J10" i="21"/>
  <c r="K10" i="21"/>
  <c r="L10" i="21"/>
  <c r="M10" i="21"/>
  <c r="N10" i="21"/>
  <c r="O10" i="21"/>
  <c r="F11" i="21"/>
  <c r="G11" i="21"/>
  <c r="H11" i="21" s="1"/>
  <c r="I11" i="21"/>
  <c r="J11" i="21"/>
  <c r="K11" i="21"/>
  <c r="L11" i="21"/>
  <c r="M11" i="21"/>
  <c r="N11" i="21"/>
  <c r="O11" i="21"/>
  <c r="F12" i="21"/>
  <c r="G12" i="21"/>
  <c r="H12" i="21" s="1"/>
  <c r="I12" i="21"/>
  <c r="J12" i="21"/>
  <c r="K12" i="21"/>
  <c r="L12" i="21"/>
  <c r="M12" i="21"/>
  <c r="N12" i="21"/>
  <c r="O12" i="21"/>
  <c r="P12" i="21" s="1"/>
  <c r="S12" i="21" s="1"/>
  <c r="F13" i="21"/>
  <c r="G13" i="21"/>
  <c r="H13" i="21" s="1"/>
  <c r="R13" i="21" s="1"/>
  <c r="I13" i="21"/>
  <c r="J13" i="21"/>
  <c r="J15" i="21" s="1"/>
  <c r="K13" i="21"/>
  <c r="L13" i="21"/>
  <c r="M13" i="21"/>
  <c r="N13" i="21"/>
  <c r="O13" i="21"/>
  <c r="F14" i="21"/>
  <c r="G14" i="21"/>
  <c r="H14" i="21"/>
  <c r="I14" i="21"/>
  <c r="J14" i="21"/>
  <c r="K14" i="21"/>
  <c r="L14" i="21"/>
  <c r="M14" i="21"/>
  <c r="N14" i="21"/>
  <c r="I5" i="21"/>
  <c r="N15" i="21"/>
  <c r="V15" i="21"/>
  <c r="D15" i="21"/>
  <c r="D6" i="21"/>
  <c r="E6" i="21" s="1"/>
  <c r="D7" i="21"/>
  <c r="E7" i="21"/>
  <c r="D8" i="21"/>
  <c r="E8" i="21"/>
  <c r="D9" i="21"/>
  <c r="E9" i="21"/>
  <c r="D10" i="21"/>
  <c r="E10" i="21" s="1"/>
  <c r="D11" i="21"/>
  <c r="E11" i="21"/>
  <c r="D12" i="21"/>
  <c r="E12" i="21"/>
  <c r="D13" i="21"/>
  <c r="E13" i="21"/>
  <c r="D14" i="21"/>
  <c r="E14" i="21" s="1"/>
  <c r="E15" i="21" s="1"/>
  <c r="G5" i="21"/>
  <c r="U6" i="21"/>
  <c r="U7" i="21"/>
  <c r="U8" i="21"/>
  <c r="U9" i="21"/>
  <c r="U10" i="21"/>
  <c r="U11" i="21"/>
  <c r="U12" i="21"/>
  <c r="U13" i="21"/>
  <c r="U14" i="21"/>
  <c r="U15" i="21" s="1"/>
  <c r="B14" i="21"/>
  <c r="C14" i="21"/>
  <c r="A14" i="21"/>
  <c r="B13" i="21"/>
  <c r="C13" i="21"/>
  <c r="A13" i="21"/>
  <c r="B12" i="21"/>
  <c r="C12" i="21"/>
  <c r="A12" i="21"/>
  <c r="A6" i="21"/>
  <c r="A7" i="21"/>
  <c r="O14" i="21" l="1"/>
  <c r="R14" i="21"/>
  <c r="P14" i="21"/>
  <c r="S14" i="21" s="1"/>
  <c r="Q14" i="21" s="1"/>
  <c r="S6" i="21"/>
  <c r="P13" i="21"/>
  <c r="S13" i="21" s="1"/>
  <c r="Q12" i="21"/>
  <c r="Q7" i="21"/>
  <c r="Q6" i="21"/>
  <c r="Q11" i="21"/>
  <c r="R11" i="21"/>
  <c r="P11" i="21"/>
  <c r="S11" i="21" s="1"/>
  <c r="R10" i="21"/>
  <c r="M15" i="21"/>
  <c r="Q13" i="21"/>
  <c r="P10" i="21"/>
  <c r="S10" i="21" s="1"/>
  <c r="Q10" i="21" s="1"/>
  <c r="R8" i="21"/>
  <c r="I15" i="21"/>
  <c r="K15" i="21"/>
  <c r="R12" i="21"/>
  <c r="Q9" i="21"/>
  <c r="G15" i="21"/>
  <c r="O15" i="21"/>
  <c r="N5" i="21"/>
  <c r="M5" i="21"/>
  <c r="K5" i="21"/>
  <c r="D5" i="21"/>
  <c r="F5" i="21"/>
  <c r="F15" i="21" s="1"/>
  <c r="J5" i="21"/>
  <c r="L5" i="21"/>
  <c r="L15" i="21" s="1"/>
  <c r="J16" i="21"/>
  <c r="T14" i="21" l="1"/>
  <c r="W14" i="21" s="1"/>
  <c r="T13" i="21"/>
  <c r="W13" i="21" s="1"/>
  <c r="T12" i="21"/>
  <c r="W12" i="21" s="1"/>
  <c r="E5" i="21"/>
  <c r="K16" i="21"/>
  <c r="H5" i="21"/>
  <c r="H15" i="21" s="1"/>
  <c r="O5" i="21"/>
  <c r="F5" i="8"/>
  <c r="P5" i="21" l="1"/>
  <c r="P15" i="21" s="1"/>
  <c r="T10" i="21"/>
  <c r="W10" i="21" s="1"/>
  <c r="F3" i="8"/>
  <c r="F4" i="8"/>
  <c r="C6" i="8"/>
  <c r="T1" i="21"/>
  <c r="S5" i="21" l="1"/>
  <c r="S15" i="21" s="1"/>
  <c r="C10" i="21"/>
  <c r="B10" i="21"/>
  <c r="A10" i="21"/>
  <c r="Q5" i="21" l="1"/>
  <c r="Q15" i="21" s="1"/>
  <c r="S18" i="21"/>
  <c r="S17" i="21"/>
  <c r="L16" i="21"/>
  <c r="F16" i="21"/>
  <c r="D16" i="21"/>
  <c r="G16" i="21"/>
  <c r="A16" i="25"/>
  <c r="U5" i="21"/>
  <c r="C11" i="21" l="1"/>
  <c r="B11" i="21"/>
  <c r="A11" i="21"/>
  <c r="B8" i="21" l="1"/>
  <c r="C8" i="21"/>
  <c r="A8" i="21"/>
  <c r="C9" i="21"/>
  <c r="B9" i="21"/>
  <c r="A9" i="21"/>
  <c r="T11" i="21" l="1"/>
  <c r="W11" i="21" s="1"/>
  <c r="P16" i="21"/>
  <c r="R16" i="21"/>
  <c r="S16" i="21"/>
  <c r="U16" i="21"/>
  <c r="V16" i="21"/>
  <c r="A16" i="21"/>
  <c r="B16" i="21"/>
  <c r="C16" i="21"/>
  <c r="E16" i="21"/>
  <c r="H16" i="21"/>
  <c r="I16" i="21"/>
  <c r="M16" i="21"/>
  <c r="N16" i="21"/>
  <c r="O16" i="21"/>
  <c r="A5" i="21"/>
  <c r="B7" i="21"/>
  <c r="C7" i="21"/>
  <c r="C6" i="21"/>
  <c r="B6" i="21"/>
  <c r="C5" i="21"/>
  <c r="B5" i="21"/>
  <c r="T9" i="21" l="1"/>
  <c r="W9" i="21" s="1"/>
  <c r="T8" i="21"/>
  <c r="W8" i="21" s="1"/>
  <c r="D15" i="8"/>
  <c r="D16" i="8"/>
  <c r="D18" i="8"/>
  <c r="D17" i="8"/>
  <c r="Q16" i="21"/>
  <c r="T16" i="21" s="1"/>
  <c r="C4" i="8"/>
  <c r="G12" i="8"/>
  <c r="G13" i="8"/>
  <c r="D13" i="8"/>
  <c r="D12" i="8"/>
  <c r="D14" i="8"/>
  <c r="D19" i="8"/>
  <c r="D10" i="8"/>
  <c r="C5" i="8"/>
  <c r="T7" i="21" l="1"/>
  <c r="W7" i="21" s="1"/>
  <c r="D11" i="8"/>
  <c r="D20" i="8"/>
  <c r="D21" i="8" l="1"/>
  <c r="R5" i="21"/>
  <c r="R15" i="21" s="1"/>
  <c r="T6" i="21" l="1"/>
  <c r="G10" i="8"/>
  <c r="W6" i="21" l="1"/>
  <c r="T5" i="21"/>
  <c r="T15" i="21" s="1"/>
  <c r="O17" i="21"/>
  <c r="U18" i="21" l="1"/>
  <c r="G11" i="8" l="1"/>
  <c r="G21" i="8" s="1"/>
  <c r="E22" i="8" s="1"/>
  <c r="W5" i="21"/>
  <c r="W15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Akhlaghi</author>
  </authors>
  <commentList>
    <comment ref="I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متاهل: عدد 1 وارد شود
مجرد: عدد 0 وارد شود
</t>
        </r>
      </text>
    </comment>
  </commentList>
</comments>
</file>

<file path=xl/sharedStrings.xml><?xml version="1.0" encoding="utf-8"?>
<sst xmlns="http://schemas.openxmlformats.org/spreadsheetml/2006/main" count="139" uniqueCount="122">
  <si>
    <t>حق اولاد</t>
  </si>
  <si>
    <t xml:space="preserve"> دستمزد ماهانه</t>
  </si>
  <si>
    <t>جمع حقوق و مزایا مشمول و غیر مشمول</t>
  </si>
  <si>
    <t>امضاء مدیر عامل</t>
  </si>
  <si>
    <t>حق بیمه سهم بیمه شده 7% =</t>
  </si>
  <si>
    <t>حق بیمه سهم کارفرما 20% =</t>
  </si>
  <si>
    <t>نام</t>
  </si>
  <si>
    <t>نام :</t>
  </si>
  <si>
    <t>نام خانوادگی :</t>
  </si>
  <si>
    <t>مالیات حقوق :</t>
  </si>
  <si>
    <t>حقوق ماهانه :</t>
  </si>
  <si>
    <t>حق اولاد :</t>
  </si>
  <si>
    <t>پایه سنوات</t>
  </si>
  <si>
    <t>پایه سنوات :</t>
  </si>
  <si>
    <t xml:space="preserve">جمع حقوق و مزایا مشمول مالیات </t>
  </si>
  <si>
    <t>حق مسکن</t>
  </si>
  <si>
    <t>کمک هزینه اقلام مصرفی</t>
  </si>
  <si>
    <t>تنظیم کننده</t>
  </si>
  <si>
    <t>مدیرمالی</t>
  </si>
  <si>
    <t>حق بیمه بیکاری 3% =</t>
  </si>
  <si>
    <t>اضافه کاری (ساعت):</t>
  </si>
  <si>
    <t>کمک هزینه اقلام مصرفی:</t>
  </si>
  <si>
    <t>اضافه کاری:</t>
  </si>
  <si>
    <t>جمع حقوق و مزایا مشمول بیمه</t>
  </si>
  <si>
    <t>جمع کسورات</t>
  </si>
  <si>
    <t>جمع حقوق و مزایا</t>
  </si>
  <si>
    <t>کد پرسنلی:</t>
  </si>
  <si>
    <t>نام خانوادگی</t>
  </si>
  <si>
    <t>تعداد فرزند</t>
  </si>
  <si>
    <t>اضافه کاری (ساعت)</t>
  </si>
  <si>
    <t>اضافه کاری (دقیقه)</t>
  </si>
  <si>
    <t>سابقه کار در شرکت (روز)</t>
  </si>
  <si>
    <t>کارکرد طی ماه (روز)</t>
  </si>
  <si>
    <t>حق تاهل</t>
  </si>
  <si>
    <t>ماه</t>
  </si>
  <si>
    <t>خالص پرداخـتی</t>
  </si>
  <si>
    <t>اضافه کار ی</t>
  </si>
  <si>
    <t>اطلاعات پایه</t>
  </si>
  <si>
    <t>سایر</t>
  </si>
  <si>
    <t>مساعده</t>
  </si>
  <si>
    <t>حق بیمه سهم پرسنل</t>
  </si>
  <si>
    <t>مالیات حقوق</t>
  </si>
  <si>
    <t>شماره ملی:</t>
  </si>
  <si>
    <t>شماره بیمه:</t>
  </si>
  <si>
    <t>کد پرسنلی</t>
  </si>
  <si>
    <t>جمع کل (ريال)</t>
  </si>
  <si>
    <t>بیمه سهم پرسنل :</t>
  </si>
  <si>
    <t>مساعده:</t>
  </si>
  <si>
    <t>دستمزد روزانه:</t>
  </si>
  <si>
    <t>حق مسکن :</t>
  </si>
  <si>
    <t>حق تاهل:</t>
  </si>
  <si>
    <t>حق ماموریت:</t>
  </si>
  <si>
    <t>سایر (بیمه تکمیلی):</t>
  </si>
  <si>
    <t>کارکرد ماهانه (روز):</t>
  </si>
  <si>
    <t>فیـش حقـوق مـاهانه پرسنل</t>
  </si>
  <si>
    <t>داده های مورد نیاز کارکرد ماهانه پرسنل</t>
  </si>
  <si>
    <t>جمع کل حق بیمه 30%</t>
  </si>
  <si>
    <t>مزایا 1</t>
  </si>
  <si>
    <t xml:space="preserve">مزایا 2 </t>
  </si>
  <si>
    <t>لطفا داده های ماهانه پرسنل جهت محاسبه حقوق و دستمزد را وارد نمایید</t>
  </si>
  <si>
    <t>مشخصات فردی</t>
  </si>
  <si>
    <t>شروع به کار</t>
  </si>
  <si>
    <t>شغل</t>
  </si>
  <si>
    <t>خدمات</t>
  </si>
  <si>
    <t>اتمام همکاری</t>
  </si>
  <si>
    <t>حسابدار</t>
  </si>
  <si>
    <t>تاهل</t>
  </si>
  <si>
    <t>امضاء اثر انگشت پرسنل</t>
  </si>
  <si>
    <t>مهر و امضاء کارفرما</t>
  </si>
  <si>
    <t>نام 8</t>
  </si>
  <si>
    <t>نام 9</t>
  </si>
  <si>
    <t>نام 10</t>
  </si>
  <si>
    <t>نام خانوادگی 8</t>
  </si>
  <si>
    <t>نام خانوادگی 9</t>
  </si>
  <si>
    <t>نام خانوادگی 10</t>
  </si>
  <si>
    <t>مدیر مالی</t>
  </si>
  <si>
    <t>مدیرعامل</t>
  </si>
  <si>
    <t>فروردین</t>
  </si>
  <si>
    <t>شماره بیمه</t>
  </si>
  <si>
    <t>شماره ملی</t>
  </si>
  <si>
    <t>کد پرسنل</t>
  </si>
  <si>
    <t>مزایا ماهانه 1</t>
  </si>
  <si>
    <t>مزایا ماهانه 2</t>
  </si>
  <si>
    <t>اضافه کاری (دقیقه):</t>
  </si>
  <si>
    <t>مزایا ماهانه 1:</t>
  </si>
  <si>
    <t>مزایا ماهانه 2:</t>
  </si>
  <si>
    <t>جدول محاسبات حقوق و دستمزد ماهیانه</t>
  </si>
  <si>
    <t>حقـوق و مزایا (ريال)</t>
  </si>
  <si>
    <t>کسـورات (ريال)</t>
  </si>
  <si>
    <t>ماه/سال:</t>
  </si>
  <si>
    <t>جهت تغییرات و یا درخواست اختصاصی سازی اکسل حقوق و دستمزد برای شرکت یا موسسه خود به ایمیل info@tarazban.com درخواست و یا با شماره تلفن 02188528965 تماس فرمائید.</t>
  </si>
  <si>
    <t xml:space="preserve">پایه حقوق ماهانه </t>
  </si>
  <si>
    <t>آخرین دستمزد روزانه 1404</t>
  </si>
  <si>
    <t>دستمزد روزانه 1405</t>
  </si>
  <si>
    <t>1405</t>
  </si>
  <si>
    <t>حقوق و مزایا (ريال)</t>
  </si>
  <si>
    <t>کسورات (ريال)</t>
  </si>
  <si>
    <t>حسابدار ارشد</t>
  </si>
  <si>
    <t>پایه سنوات روزانه 1404 (ريال)</t>
  </si>
  <si>
    <t>نام شرکت یا کسب و کار</t>
  </si>
  <si>
    <t>نام 1</t>
  </si>
  <si>
    <t>نام خانوادگی 2</t>
  </si>
  <si>
    <t>نام 2</t>
  </si>
  <si>
    <t>نام خانوادگی 3</t>
  </si>
  <si>
    <t>نام 3</t>
  </si>
  <si>
    <t>نام خانوادگی 4</t>
  </si>
  <si>
    <t>نام 4</t>
  </si>
  <si>
    <t>نام خانوادگی 5</t>
  </si>
  <si>
    <t>نام 5</t>
  </si>
  <si>
    <t>نام خانوادگی 6</t>
  </si>
  <si>
    <t>نام 6</t>
  </si>
  <si>
    <t>نام خانوادگی 7</t>
  </si>
  <si>
    <t>نام 7</t>
  </si>
  <si>
    <t>نام خانوادگی 11</t>
  </si>
  <si>
    <t>111111111</t>
  </si>
  <si>
    <t>999999999</t>
  </si>
  <si>
    <t>ماموریت (ساعت)</t>
  </si>
  <si>
    <t>حق ماموریت (ساعت)</t>
  </si>
  <si>
    <t>ماموریت (ساعت):</t>
  </si>
  <si>
    <t>0123456789</t>
  </si>
  <si>
    <t>9876543210</t>
  </si>
  <si>
    <t>خالص پرداختی (ريال)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</si>
</sst>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178"/>
    </font>
    <font>
      <b/>
      <sz val="10"/>
      <name val="B Nazanin"/>
      <charset val="178"/>
    </font>
    <font>
      <b/>
      <sz val="16"/>
      <name val="B Nazanin"/>
      <charset val="178"/>
    </font>
    <font>
      <b/>
      <sz val="12"/>
      <name val="B Nazanin"/>
      <charset val="178"/>
    </font>
    <font>
      <b/>
      <sz val="11"/>
      <name val="B Nazanin"/>
      <charset val="178"/>
    </font>
    <font>
      <b/>
      <sz val="14"/>
      <name val="B Nazanin"/>
      <charset val="178"/>
    </font>
    <font>
      <sz val="10"/>
      <name val="Arial"/>
      <family val="2"/>
    </font>
    <font>
      <b/>
      <sz val="12"/>
      <name val="B Titr"/>
      <charset val="178"/>
    </font>
    <font>
      <sz val="14"/>
      <name val="B Titr"/>
      <charset val="178"/>
    </font>
    <font>
      <b/>
      <sz val="16"/>
      <name val="B Titr"/>
      <charset val="178"/>
    </font>
    <font>
      <b/>
      <sz val="10"/>
      <name val="B Titr"/>
      <charset val="178"/>
    </font>
    <font>
      <b/>
      <sz val="11"/>
      <name val="B Titr"/>
      <charset val="178"/>
    </font>
    <font>
      <sz val="14"/>
      <name val="B Nazanin"/>
      <charset val="178"/>
    </font>
    <font>
      <b/>
      <sz val="18"/>
      <name val="B Titr"/>
      <charset val="178"/>
    </font>
    <font>
      <sz val="8"/>
      <name val="Arial"/>
      <family val="2"/>
    </font>
    <font>
      <sz val="9"/>
      <color indexed="81"/>
      <name val="Tahoma"/>
      <family val="2"/>
    </font>
    <font>
      <i/>
      <sz val="10"/>
      <name val="B Nazanin"/>
      <charset val="178"/>
    </font>
    <font>
      <b/>
      <sz val="14"/>
      <name val="B Titr"/>
      <charset val="178"/>
    </font>
    <font>
      <b/>
      <sz val="16"/>
      <color rgb="FFC00000"/>
      <name val="B Nazanin"/>
      <charset val="17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54">
    <xf numFmtId="0" fontId="0" fillId="0" borderId="0" xfId="0"/>
    <xf numFmtId="3" fontId="12" fillId="0" borderId="0" xfId="0" applyNumberFormat="1" applyFont="1" applyAlignment="1">
      <alignment horizontal="center" vertical="center" readingOrder="2"/>
    </xf>
    <xf numFmtId="0" fontId="12" fillId="0" borderId="0" xfId="0" applyFont="1" applyAlignment="1">
      <alignment readingOrder="2"/>
    </xf>
    <xf numFmtId="49" fontId="12" fillId="0" borderId="0" xfId="0" applyNumberFormat="1" applyFont="1" applyAlignment="1">
      <alignment horizontal="center" vertical="center" readingOrder="2"/>
    </xf>
    <xf numFmtId="0" fontId="12" fillId="0" borderId="0" xfId="0" applyFont="1" applyAlignment="1">
      <alignment horizontal="center" vertical="center" readingOrder="2"/>
    </xf>
    <xf numFmtId="3" fontId="12" fillId="0" borderId="5" xfId="0" applyNumberFormat="1" applyFont="1" applyBorder="1" applyAlignment="1">
      <alignment horizontal="center" vertical="center" readingOrder="2"/>
    </xf>
    <xf numFmtId="0" fontId="1" fillId="0" borderId="16" xfId="0" applyFont="1" applyBorder="1" applyAlignment="1" applyProtection="1">
      <alignment vertical="center" readingOrder="2"/>
      <protection hidden="1"/>
    </xf>
    <xf numFmtId="0" fontId="1" fillId="0" borderId="12" xfId="0" applyFont="1" applyBorder="1" applyAlignment="1" applyProtection="1">
      <alignment vertical="center" readingOrder="2"/>
      <protection hidden="1"/>
    </xf>
    <xf numFmtId="0" fontId="1" fillId="0" borderId="13" xfId="0" applyFont="1" applyBorder="1" applyAlignment="1" applyProtection="1">
      <alignment vertical="center" readingOrder="2"/>
      <protection hidden="1"/>
    </xf>
    <xf numFmtId="0" fontId="1" fillId="0" borderId="15" xfId="0" applyFont="1" applyBorder="1" applyAlignment="1" applyProtection="1">
      <alignment horizontal="center" vertical="center" readingOrder="2"/>
      <protection hidden="1"/>
    </xf>
    <xf numFmtId="3" fontId="1" fillId="0" borderId="15" xfId="0" applyNumberFormat="1" applyFont="1" applyBorder="1" applyAlignment="1" applyProtection="1">
      <alignment horizontal="center" vertical="center" readingOrder="2"/>
      <protection hidden="1"/>
    </xf>
    <xf numFmtId="3" fontId="1" fillId="0" borderId="17" xfId="0" applyNumberFormat="1" applyFont="1" applyBorder="1" applyAlignment="1" applyProtection="1">
      <alignment horizontal="center" vertical="center" readingOrder="2"/>
      <protection hidden="1"/>
    </xf>
    <xf numFmtId="0" fontId="1" fillId="0" borderId="0" xfId="0" applyFont="1" applyAlignment="1" applyProtection="1">
      <alignment vertical="center" readingOrder="2"/>
      <protection hidden="1"/>
    </xf>
    <xf numFmtId="3" fontId="4" fillId="0" borderId="17" xfId="0" applyNumberFormat="1" applyFont="1" applyBorder="1" applyAlignment="1" applyProtection="1">
      <alignment horizontal="center" vertical="center" readingOrder="2"/>
      <protection hidden="1"/>
    </xf>
    <xf numFmtId="3" fontId="1" fillId="0" borderId="11" xfId="0" applyNumberFormat="1" applyFont="1" applyBorder="1" applyAlignment="1" applyProtection="1">
      <alignment horizontal="center" vertical="center" readingOrder="2"/>
      <protection hidden="1"/>
    </xf>
    <xf numFmtId="0" fontId="1" fillId="0" borderId="11" xfId="0" applyFont="1" applyBorder="1" applyAlignment="1" applyProtection="1">
      <alignment vertical="center" readingOrder="2"/>
      <protection hidden="1"/>
    </xf>
    <xf numFmtId="0" fontId="0" fillId="0" borderId="0" xfId="0" applyProtection="1">
      <protection hidden="1"/>
    </xf>
    <xf numFmtId="3" fontId="3" fillId="3" borderId="5" xfId="0" applyNumberFormat="1" applyFont="1" applyFill="1" applyBorder="1" applyAlignment="1" applyProtection="1">
      <alignment horizontal="center" vertical="center"/>
      <protection hidden="1"/>
    </xf>
    <xf numFmtId="3" fontId="3" fillId="6" borderId="5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3" fontId="3" fillId="0" borderId="0" xfId="0" applyNumberFormat="1" applyFont="1" applyAlignment="1" applyProtection="1">
      <alignment horizontal="center" vertical="center"/>
      <protection hidden="1"/>
    </xf>
    <xf numFmtId="3" fontId="2" fillId="0" borderId="0" xfId="0" applyNumberFormat="1" applyFont="1" applyAlignment="1" applyProtection="1">
      <alignment vertical="center"/>
      <protection hidden="1"/>
    </xf>
    <xf numFmtId="3" fontId="2" fillId="2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2" fillId="3" borderId="5" xfId="0" applyFont="1" applyFill="1" applyBorder="1" applyAlignment="1">
      <alignment horizontal="center" vertical="center" readingOrder="2"/>
    </xf>
    <xf numFmtId="3" fontId="4" fillId="10" borderId="8" xfId="0" applyNumberFormat="1" applyFont="1" applyFill="1" applyBorder="1" applyAlignment="1" applyProtection="1">
      <alignment horizontal="center" vertical="center" readingOrder="2"/>
      <protection hidden="1"/>
    </xf>
    <xf numFmtId="3" fontId="4" fillId="10" borderId="15" xfId="0" applyNumberFormat="1" applyFont="1" applyFill="1" applyBorder="1" applyAlignment="1" applyProtection="1">
      <alignment horizontal="center" vertical="center" readingOrder="2"/>
      <protection hidden="1"/>
    </xf>
    <xf numFmtId="49" fontId="12" fillId="3" borderId="5" xfId="0" applyNumberFormat="1" applyFont="1" applyFill="1" applyBorder="1" applyAlignment="1">
      <alignment horizontal="center" vertical="center" readingOrder="2"/>
    </xf>
    <xf numFmtId="0" fontId="5" fillId="10" borderId="5" xfId="0" applyFont="1" applyFill="1" applyBorder="1" applyAlignment="1">
      <alignment horizontal="center" vertical="center" readingOrder="2"/>
    </xf>
    <xf numFmtId="49" fontId="5" fillId="10" borderId="5" xfId="0" applyNumberFormat="1" applyFont="1" applyFill="1" applyBorder="1" applyAlignment="1">
      <alignment horizontal="center" vertical="center" readingOrder="2"/>
    </xf>
    <xf numFmtId="3" fontId="5" fillId="10" borderId="5" xfId="0" applyNumberFormat="1" applyFont="1" applyFill="1" applyBorder="1" applyAlignment="1">
      <alignment horizontal="center" vertical="center" readingOrder="2"/>
    </xf>
    <xf numFmtId="3" fontId="5" fillId="10" borderId="5" xfId="0" applyNumberFormat="1" applyFont="1" applyFill="1" applyBorder="1" applyAlignment="1">
      <alignment horizontal="center" vertical="center" wrapText="1" readingOrder="2"/>
    </xf>
    <xf numFmtId="0" fontId="3" fillId="3" borderId="5" xfId="0" applyFont="1" applyFill="1" applyBorder="1" applyAlignment="1" applyProtection="1">
      <alignment horizontal="center" vertical="center"/>
      <protection hidden="1"/>
    </xf>
    <xf numFmtId="49" fontId="6" fillId="0" borderId="0" xfId="0" applyNumberFormat="1" applyFont="1" applyProtection="1">
      <protection hidden="1"/>
    </xf>
    <xf numFmtId="49" fontId="12" fillId="0" borderId="5" xfId="0" applyNumberFormat="1" applyFont="1" applyBorder="1" applyAlignment="1">
      <alignment horizontal="center" vertical="center" readingOrder="2"/>
    </xf>
    <xf numFmtId="49" fontId="3" fillId="3" borderId="5" xfId="0" applyNumberFormat="1" applyFont="1" applyFill="1" applyBorder="1" applyAlignment="1" applyProtection="1">
      <alignment horizontal="center" vertical="center"/>
      <protection hidden="1"/>
    </xf>
    <xf numFmtId="0" fontId="5" fillId="10" borderId="5" xfId="0" applyFont="1" applyFill="1" applyBorder="1" applyAlignment="1">
      <alignment horizontal="center" vertical="center" wrapText="1" readingOrder="2"/>
    </xf>
    <xf numFmtId="3" fontId="3" fillId="3" borderId="23" xfId="0" applyNumberFormat="1" applyFont="1" applyFill="1" applyBorder="1" applyAlignment="1" applyProtection="1">
      <alignment horizontal="center" vertical="center"/>
      <protection hidden="1"/>
    </xf>
    <xf numFmtId="3" fontId="3" fillId="3" borderId="35" xfId="0" applyNumberFormat="1" applyFont="1" applyFill="1" applyBorder="1" applyAlignment="1" applyProtection="1">
      <alignment horizontal="center" vertical="center"/>
      <protection hidden="1"/>
    </xf>
    <xf numFmtId="3" fontId="3" fillId="6" borderId="23" xfId="0" applyNumberFormat="1" applyFont="1" applyFill="1" applyBorder="1" applyAlignment="1" applyProtection="1">
      <alignment horizontal="center" vertical="center"/>
      <protection hidden="1"/>
    </xf>
    <xf numFmtId="0" fontId="5" fillId="10" borderId="7" xfId="0" applyFont="1" applyFill="1" applyBorder="1" applyAlignment="1">
      <alignment horizontal="center" vertical="center" readingOrder="2"/>
    </xf>
    <xf numFmtId="3" fontId="5" fillId="10" borderId="4" xfId="0" applyNumberFormat="1" applyFont="1" applyFill="1" applyBorder="1" applyAlignment="1">
      <alignment horizontal="center" vertical="center" readingOrder="2"/>
    </xf>
    <xf numFmtId="0" fontId="12" fillId="3" borderId="7" xfId="0" applyFont="1" applyFill="1" applyBorder="1" applyAlignment="1">
      <alignment horizontal="center" vertical="center" readingOrder="2"/>
    </xf>
    <xf numFmtId="3" fontId="12" fillId="0" borderId="4" xfId="0" applyNumberFormat="1" applyFont="1" applyBorder="1" applyAlignment="1">
      <alignment horizontal="center" vertical="center" readingOrder="2"/>
    </xf>
    <xf numFmtId="0" fontId="12" fillId="3" borderId="24" xfId="0" applyFont="1" applyFill="1" applyBorder="1" applyAlignment="1">
      <alignment horizontal="center" vertical="center" readingOrder="2"/>
    </xf>
    <xf numFmtId="0" fontId="12" fillId="3" borderId="6" xfId="0" applyFont="1" applyFill="1" applyBorder="1" applyAlignment="1">
      <alignment horizontal="center" vertical="center" readingOrder="2"/>
    </xf>
    <xf numFmtId="49" fontId="12" fillId="3" borderId="6" xfId="0" applyNumberFormat="1" applyFont="1" applyFill="1" applyBorder="1" applyAlignment="1">
      <alignment horizontal="center" vertical="center" readingOrder="2"/>
    </xf>
    <xf numFmtId="3" fontId="12" fillId="0" borderId="6" xfId="0" applyNumberFormat="1" applyFont="1" applyBorder="1" applyAlignment="1">
      <alignment horizontal="center" vertical="center" readingOrder="2"/>
    </xf>
    <xf numFmtId="3" fontId="12" fillId="0" borderId="25" xfId="0" applyNumberFormat="1" applyFont="1" applyBorder="1" applyAlignment="1">
      <alignment horizontal="center" vertical="center" readingOrder="2"/>
    </xf>
    <xf numFmtId="3" fontId="3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vertical="center" readingOrder="2"/>
      <protection hidden="1"/>
    </xf>
    <xf numFmtId="3" fontId="7" fillId="3" borderId="37" xfId="0" applyNumberFormat="1" applyFont="1" applyFill="1" applyBorder="1" applyAlignment="1" applyProtection="1">
      <alignment horizontal="center" vertical="center"/>
      <protection hidden="1"/>
    </xf>
    <xf numFmtId="3" fontId="3" fillId="4" borderId="5" xfId="0" applyNumberFormat="1" applyFont="1" applyFill="1" applyBorder="1" applyAlignment="1" applyProtection="1">
      <alignment horizontal="center" vertical="center"/>
      <protection hidden="1"/>
    </xf>
    <xf numFmtId="3" fontId="3" fillId="7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8" xfId="0" applyFont="1" applyBorder="1" applyAlignment="1" applyProtection="1">
      <alignment horizontal="right" vertical="center" readingOrder="2"/>
      <protection hidden="1"/>
    </xf>
    <xf numFmtId="0" fontId="1" fillId="0" borderId="8" xfId="0" applyFont="1" applyBorder="1" applyAlignment="1" applyProtection="1">
      <alignment horizontal="center" vertical="center" readingOrder="2"/>
      <protection hidden="1"/>
    </xf>
    <xf numFmtId="0" fontId="1" fillId="0" borderId="0" xfId="0" applyFont="1" applyAlignment="1" applyProtection="1">
      <alignment vertical="center" readingOrder="2"/>
      <protection locked="0"/>
    </xf>
    <xf numFmtId="0" fontId="10" fillId="0" borderId="0" xfId="0" applyFont="1" applyAlignment="1" applyProtection="1">
      <alignment vertical="center" readingOrder="2"/>
      <protection locked="0"/>
    </xf>
    <xf numFmtId="0" fontId="1" fillId="0" borderId="9" xfId="0" applyFont="1" applyBorder="1" applyAlignment="1" applyProtection="1">
      <alignment vertical="center" readingOrder="2"/>
      <protection locked="0"/>
    </xf>
    <xf numFmtId="3" fontId="2" fillId="2" borderId="0" xfId="0" applyNumberFormat="1" applyFont="1" applyFill="1" applyAlignment="1" applyProtection="1">
      <alignment horizontal="left" vertical="center"/>
      <protection hidden="1"/>
    </xf>
    <xf numFmtId="3" fontId="2" fillId="0" borderId="0" xfId="0" applyNumberFormat="1" applyFont="1" applyAlignment="1" applyProtection="1">
      <alignment horizontal="left" vertical="center"/>
      <protection hidden="1"/>
    </xf>
    <xf numFmtId="3" fontId="2" fillId="2" borderId="0" xfId="0" applyNumberFormat="1" applyFont="1" applyFill="1" applyAlignment="1" applyProtection="1">
      <alignment horizontal="right" vertical="center"/>
      <protection hidden="1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>
      <alignment horizontal="center" readingOrder="2"/>
    </xf>
    <xf numFmtId="49" fontId="5" fillId="9" borderId="18" xfId="0" applyNumberFormat="1" applyFont="1" applyFill="1" applyBorder="1" applyAlignment="1">
      <alignment horizontal="center" vertical="center" readingOrder="2"/>
    </xf>
    <xf numFmtId="49" fontId="5" fillId="9" borderId="19" xfId="0" applyNumberFormat="1" applyFont="1" applyFill="1" applyBorder="1" applyAlignment="1">
      <alignment horizontal="center" vertical="center" readingOrder="2"/>
    </xf>
    <xf numFmtId="0" fontId="17" fillId="0" borderId="0" xfId="0" applyFont="1" applyAlignment="1">
      <alignment horizontal="center" readingOrder="2"/>
    </xf>
    <xf numFmtId="3" fontId="5" fillId="8" borderId="19" xfId="0" applyNumberFormat="1" applyFont="1" applyFill="1" applyBorder="1" applyAlignment="1">
      <alignment horizontal="center" vertical="center" readingOrder="2"/>
    </xf>
    <xf numFmtId="3" fontId="5" fillId="8" borderId="20" xfId="0" applyNumberFormat="1" applyFont="1" applyFill="1" applyBorder="1" applyAlignment="1">
      <alignment horizontal="center" vertical="center" readingOrder="2"/>
    </xf>
    <xf numFmtId="0" fontId="18" fillId="0" borderId="8" xfId="0" applyFont="1" applyBorder="1" applyAlignment="1">
      <alignment horizontal="center" vertical="center" readingOrder="2"/>
    </xf>
    <xf numFmtId="0" fontId="7" fillId="0" borderId="36" xfId="0" applyFont="1" applyBorder="1" applyAlignment="1" applyProtection="1">
      <alignment horizontal="center" vertical="center"/>
      <protection hidden="1"/>
    </xf>
    <xf numFmtId="0" fontId="7" fillId="0" borderId="37" xfId="0" applyFont="1" applyBorder="1" applyAlignment="1" applyProtection="1">
      <alignment horizontal="center" vertical="center"/>
      <protection hidden="1"/>
    </xf>
    <xf numFmtId="49" fontId="8" fillId="0" borderId="1" xfId="0" applyNumberFormat="1" applyFont="1" applyBorder="1" applyAlignment="1" applyProtection="1">
      <alignment horizontal="center" vertical="center"/>
      <protection hidden="1"/>
    </xf>
    <xf numFmtId="49" fontId="8" fillId="0" borderId="2" xfId="0" applyNumberFormat="1" applyFont="1" applyBorder="1" applyAlignment="1" applyProtection="1">
      <alignment horizontal="center" vertical="center"/>
      <protection hidden="1"/>
    </xf>
    <xf numFmtId="49" fontId="8" fillId="0" borderId="3" xfId="0" applyNumberFormat="1" applyFont="1" applyBorder="1" applyAlignment="1" applyProtection="1">
      <alignment horizontal="center" vertical="center"/>
      <protection hidden="1"/>
    </xf>
    <xf numFmtId="3" fontId="5" fillId="12" borderId="19" xfId="0" applyNumberFormat="1" applyFont="1" applyFill="1" applyBorder="1" applyAlignment="1" applyProtection="1">
      <alignment horizontal="center" vertical="center" wrapText="1"/>
      <protection hidden="1"/>
    </xf>
    <xf numFmtId="3" fontId="5" fillId="12" borderId="29" xfId="0" applyNumberFormat="1" applyFont="1" applyFill="1" applyBorder="1" applyAlignment="1" applyProtection="1">
      <alignment horizontal="center" vertical="center" wrapText="1"/>
      <protection hidden="1"/>
    </xf>
    <xf numFmtId="3" fontId="3" fillId="11" borderId="19" xfId="0" applyNumberFormat="1" applyFont="1" applyFill="1" applyBorder="1" applyAlignment="1" applyProtection="1">
      <alignment horizontal="center" vertical="center" wrapText="1"/>
      <protection hidden="1"/>
    </xf>
    <xf numFmtId="3" fontId="3" fillId="11" borderId="29" xfId="0" applyNumberFormat="1" applyFont="1" applyFill="1" applyBorder="1" applyAlignment="1" applyProtection="1">
      <alignment horizontal="center" vertical="center" wrapText="1"/>
      <protection hidden="1"/>
    </xf>
    <xf numFmtId="3" fontId="3" fillId="11" borderId="26" xfId="0" applyNumberFormat="1" applyFont="1" applyFill="1" applyBorder="1" applyAlignment="1" applyProtection="1">
      <alignment horizontal="center" vertical="center" wrapText="1"/>
      <protection hidden="1"/>
    </xf>
    <xf numFmtId="3" fontId="3" fillId="11" borderId="31" xfId="0" applyNumberFormat="1" applyFont="1" applyFill="1" applyBorder="1" applyAlignment="1" applyProtection="1">
      <alignment horizontal="center" vertical="center" wrapText="1"/>
      <protection hidden="1"/>
    </xf>
    <xf numFmtId="49" fontId="8" fillId="0" borderId="8" xfId="0" applyNumberFormat="1" applyFont="1" applyBorder="1" applyAlignment="1" applyProtection="1">
      <alignment horizontal="center" vertical="center"/>
      <protection hidden="1"/>
    </xf>
    <xf numFmtId="49" fontId="8" fillId="0" borderId="15" xfId="0" applyNumberFormat="1" applyFont="1" applyBorder="1" applyAlignment="1" applyProtection="1">
      <alignment horizontal="center" vertical="center"/>
      <protection hidden="1"/>
    </xf>
    <xf numFmtId="0" fontId="3" fillId="11" borderId="10" xfId="0" applyFont="1" applyFill="1" applyBorder="1" applyAlignment="1" applyProtection="1">
      <alignment horizontal="center" vertical="center" wrapText="1"/>
      <protection hidden="1"/>
    </xf>
    <xf numFmtId="0" fontId="3" fillId="11" borderId="33" xfId="0" applyFont="1" applyFill="1" applyBorder="1" applyAlignment="1" applyProtection="1">
      <alignment horizontal="center" vertical="center" wrapText="1"/>
      <protection hidden="1"/>
    </xf>
    <xf numFmtId="3" fontId="3" fillId="11" borderId="19" xfId="0" applyNumberFormat="1" applyFont="1" applyFill="1" applyBorder="1" applyAlignment="1" applyProtection="1">
      <alignment horizontal="center" vertical="center"/>
      <protection hidden="1"/>
    </xf>
    <xf numFmtId="3" fontId="3" fillId="11" borderId="29" xfId="0" applyNumberFormat="1" applyFont="1" applyFill="1" applyBorder="1" applyAlignment="1" applyProtection="1">
      <alignment horizontal="center" vertical="center"/>
      <protection hidden="1"/>
    </xf>
    <xf numFmtId="0" fontId="3" fillId="11" borderId="19" xfId="0" applyFont="1" applyFill="1" applyBorder="1" applyAlignment="1" applyProtection="1">
      <alignment horizontal="center" vertical="center"/>
      <protection hidden="1"/>
    </xf>
    <xf numFmtId="0" fontId="3" fillId="11" borderId="29" xfId="0" applyFont="1" applyFill="1" applyBorder="1" applyAlignment="1" applyProtection="1">
      <alignment horizontal="center" vertical="center"/>
      <protection hidden="1"/>
    </xf>
    <xf numFmtId="3" fontId="3" fillId="11" borderId="22" xfId="0" applyNumberFormat="1" applyFont="1" applyFill="1" applyBorder="1" applyAlignment="1" applyProtection="1">
      <alignment horizontal="center" vertical="center"/>
      <protection hidden="1"/>
    </xf>
    <xf numFmtId="3" fontId="3" fillId="11" borderId="32" xfId="0" applyNumberFormat="1" applyFont="1" applyFill="1" applyBorder="1" applyAlignment="1" applyProtection="1">
      <alignment horizontal="center" vertical="center"/>
      <protection hidden="1"/>
    </xf>
    <xf numFmtId="49" fontId="9" fillId="0" borderId="13" xfId="0" applyNumberFormat="1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13" fillId="0" borderId="13" xfId="0" applyFont="1" applyBorder="1" applyAlignment="1" applyProtection="1">
      <alignment horizontal="center" vertical="center"/>
      <protection hidden="1"/>
    </xf>
    <xf numFmtId="49" fontId="17" fillId="0" borderId="9" xfId="0" applyNumberFormat="1" applyFont="1" applyBorder="1" applyAlignment="1" applyProtection="1">
      <alignment horizontal="center" vertical="center" wrapText="1"/>
      <protection hidden="1"/>
    </xf>
    <xf numFmtId="49" fontId="17" fillId="0" borderId="16" xfId="0" applyNumberFormat="1" applyFont="1" applyBorder="1" applyAlignment="1" applyProtection="1">
      <alignment horizontal="center" vertical="center" wrapText="1"/>
      <protection hidden="1"/>
    </xf>
    <xf numFmtId="3" fontId="3" fillId="11" borderId="22" xfId="0" applyNumberFormat="1" applyFont="1" applyFill="1" applyBorder="1" applyAlignment="1" applyProtection="1">
      <alignment horizontal="center" vertical="center" wrapText="1"/>
      <protection hidden="1"/>
    </xf>
    <xf numFmtId="3" fontId="3" fillId="11" borderId="32" xfId="0" applyNumberFormat="1" applyFont="1" applyFill="1" applyBorder="1" applyAlignment="1" applyProtection="1">
      <alignment horizontal="center" vertical="center" wrapText="1"/>
      <protection hidden="1"/>
    </xf>
    <xf numFmtId="49" fontId="5" fillId="12" borderId="18" xfId="0" applyNumberFormat="1" applyFont="1" applyFill="1" applyBorder="1" applyAlignment="1" applyProtection="1">
      <alignment horizontal="center" vertical="center" wrapText="1"/>
      <protection hidden="1"/>
    </xf>
    <xf numFmtId="49" fontId="5" fillId="12" borderId="28" xfId="0" applyNumberFormat="1" applyFont="1" applyFill="1" applyBorder="1" applyAlignment="1" applyProtection="1">
      <alignment horizontal="center" vertical="center" wrapText="1"/>
      <protection hidden="1"/>
    </xf>
    <xf numFmtId="3" fontId="5" fillId="12" borderId="27" xfId="0" applyNumberFormat="1" applyFont="1" applyFill="1" applyBorder="1" applyAlignment="1" applyProtection="1">
      <alignment horizontal="center" vertical="center" wrapText="1"/>
      <protection hidden="1"/>
    </xf>
    <xf numFmtId="3" fontId="5" fillId="12" borderId="30" xfId="0" applyNumberFormat="1" applyFont="1" applyFill="1" applyBorder="1" applyAlignment="1" applyProtection="1">
      <alignment horizontal="center" vertical="center" wrapText="1"/>
      <protection hidden="1"/>
    </xf>
    <xf numFmtId="49" fontId="5" fillId="12" borderId="19" xfId="0" applyNumberFormat="1" applyFont="1" applyFill="1" applyBorder="1" applyAlignment="1" applyProtection="1">
      <alignment horizontal="center" vertical="center"/>
      <protection hidden="1"/>
    </xf>
    <xf numFmtId="49" fontId="5" fillId="12" borderId="29" xfId="0" applyNumberFormat="1" applyFont="1" applyFill="1" applyBorder="1" applyAlignment="1" applyProtection="1">
      <alignment horizontal="center" vertical="center"/>
      <protection hidden="1"/>
    </xf>
    <xf numFmtId="0" fontId="5" fillId="12" borderId="19" xfId="0" applyFont="1" applyFill="1" applyBorder="1" applyAlignment="1" applyProtection="1">
      <alignment horizontal="center" vertical="center"/>
      <protection hidden="1"/>
    </xf>
    <xf numFmtId="0" fontId="5" fillId="12" borderId="29" xfId="0" applyFont="1" applyFill="1" applyBorder="1" applyAlignment="1" applyProtection="1">
      <alignment horizontal="center" vertical="center"/>
      <protection hidden="1"/>
    </xf>
    <xf numFmtId="3" fontId="2" fillId="2" borderId="0" xfId="0" applyNumberFormat="1" applyFont="1" applyFill="1" applyAlignment="1" applyProtection="1">
      <alignment horizontal="left" vertical="center"/>
      <protection hidden="1"/>
    </xf>
    <xf numFmtId="3" fontId="2" fillId="0" borderId="0" xfId="0" applyNumberFormat="1" applyFont="1" applyAlignment="1" applyProtection="1">
      <alignment horizontal="left" vertical="center"/>
      <protection hidden="1"/>
    </xf>
    <xf numFmtId="49" fontId="8" fillId="0" borderId="9" xfId="0" applyNumberFormat="1" applyFont="1" applyBorder="1" applyAlignment="1" applyProtection="1">
      <alignment horizontal="center" vertical="center"/>
      <protection hidden="1"/>
    </xf>
    <xf numFmtId="0" fontId="3" fillId="5" borderId="18" xfId="0" applyFont="1" applyFill="1" applyBorder="1" applyAlignment="1" applyProtection="1">
      <alignment horizontal="center" vertical="center" wrapText="1"/>
      <protection hidden="1"/>
    </xf>
    <xf numFmtId="0" fontId="3" fillId="5" borderId="28" xfId="0" applyFont="1" applyFill="1" applyBorder="1" applyAlignment="1" applyProtection="1">
      <alignment horizontal="center" vertical="center" wrapText="1"/>
      <protection hidden="1"/>
    </xf>
    <xf numFmtId="0" fontId="3" fillId="5" borderId="19" xfId="0" applyFont="1" applyFill="1" applyBorder="1" applyAlignment="1" applyProtection="1">
      <alignment horizontal="center" vertical="center"/>
      <protection hidden="1"/>
    </xf>
    <xf numFmtId="0" fontId="3" fillId="5" borderId="29" xfId="0" applyFont="1" applyFill="1" applyBorder="1" applyAlignment="1" applyProtection="1">
      <alignment horizontal="center" vertical="center"/>
      <protection hidden="1"/>
    </xf>
    <xf numFmtId="0" fontId="3" fillId="5" borderId="20" xfId="0" applyFont="1" applyFill="1" applyBorder="1" applyAlignment="1" applyProtection="1">
      <alignment horizontal="center" vertical="center"/>
      <protection hidden="1"/>
    </xf>
    <xf numFmtId="0" fontId="3" fillId="5" borderId="34" xfId="0" applyFont="1" applyFill="1" applyBorder="1" applyAlignment="1" applyProtection="1">
      <alignment horizontal="center" vertical="center"/>
      <protection hidden="1"/>
    </xf>
    <xf numFmtId="3" fontId="2" fillId="2" borderId="0" xfId="0" applyNumberFormat="1" applyFont="1" applyFill="1" applyAlignment="1" applyProtection="1">
      <alignment horizontal="right" vertical="center"/>
      <protection hidden="1"/>
    </xf>
    <xf numFmtId="0" fontId="3" fillId="11" borderId="19" xfId="0" applyFont="1" applyFill="1" applyBorder="1" applyAlignment="1" applyProtection="1">
      <alignment horizontal="center" vertical="center" wrapText="1"/>
      <protection hidden="1"/>
    </xf>
    <xf numFmtId="0" fontId="3" fillId="11" borderId="29" xfId="0" applyFont="1" applyFill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right" vertical="center" readingOrder="2"/>
      <protection hidden="1"/>
    </xf>
    <xf numFmtId="0" fontId="1" fillId="10" borderId="8" xfId="0" applyFont="1" applyFill="1" applyBorder="1" applyAlignment="1" applyProtection="1">
      <alignment horizontal="center" vertical="center" readingOrder="2"/>
      <protection hidden="1"/>
    </xf>
    <xf numFmtId="0" fontId="1" fillId="0" borderId="12" xfId="0" applyFont="1" applyBorder="1" applyAlignment="1" applyProtection="1">
      <alignment horizontal="right" vertical="center" readingOrder="2"/>
      <protection hidden="1"/>
    </xf>
    <xf numFmtId="0" fontId="1" fillId="0" borderId="13" xfId="0" applyFont="1" applyBorder="1" applyAlignment="1" applyProtection="1">
      <alignment horizontal="right" vertical="center" readingOrder="2"/>
      <protection hidden="1"/>
    </xf>
    <xf numFmtId="0" fontId="1" fillId="10" borderId="9" xfId="0" applyFont="1" applyFill="1" applyBorder="1" applyAlignment="1" applyProtection="1">
      <alignment horizontal="center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7" xfId="0" applyFont="1" applyBorder="1" applyAlignment="1" applyProtection="1">
      <alignment horizontal="center" vertical="center" readingOrder="2"/>
      <protection hidden="1"/>
    </xf>
    <xf numFmtId="0" fontId="1" fillId="13" borderId="21" xfId="0" applyFont="1" applyFill="1" applyBorder="1" applyAlignment="1" applyProtection="1">
      <alignment horizontal="center" vertical="center" readingOrder="2"/>
      <protection hidden="1"/>
    </xf>
    <xf numFmtId="0" fontId="1" fillId="6" borderId="14" xfId="0" applyFont="1" applyFill="1" applyBorder="1" applyAlignment="1" applyProtection="1">
      <alignment horizontal="center" vertical="center" readingOrder="2"/>
      <protection hidden="1"/>
    </xf>
    <xf numFmtId="0" fontId="1" fillId="0" borderId="9" xfId="0" applyFont="1" applyBorder="1" applyAlignment="1" applyProtection="1">
      <alignment horizontal="right" vertical="center" readingOrder="2"/>
      <protection hidden="1"/>
    </xf>
    <xf numFmtId="0" fontId="1" fillId="0" borderId="8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locked="0"/>
    </xf>
    <xf numFmtId="0" fontId="16" fillId="0" borderId="18" xfId="0" applyFont="1" applyBorder="1" applyAlignment="1" applyProtection="1">
      <alignment horizontal="center" vertical="center" readingOrder="2"/>
      <protection hidden="1"/>
    </xf>
    <xf numFmtId="0" fontId="16" fillId="0" borderId="19" xfId="0" applyFont="1" applyBorder="1" applyAlignment="1" applyProtection="1">
      <alignment horizontal="center" vertical="center" readingOrder="2"/>
      <protection hidden="1"/>
    </xf>
    <xf numFmtId="0" fontId="16" fillId="0" borderId="7" xfId="0" applyFont="1" applyBorder="1" applyAlignment="1" applyProtection="1">
      <alignment horizontal="center" vertical="center" readingOrder="2"/>
      <protection hidden="1"/>
    </xf>
    <xf numFmtId="0" fontId="16" fillId="0" borderId="5" xfId="0" applyFont="1" applyBorder="1" applyAlignment="1" applyProtection="1">
      <alignment horizontal="center" vertical="center" readingOrder="2"/>
      <protection hidden="1"/>
    </xf>
    <xf numFmtId="0" fontId="16" fillId="0" borderId="24" xfId="0" applyFont="1" applyBorder="1" applyAlignment="1" applyProtection="1">
      <alignment horizontal="center" vertical="center" readingOrder="2"/>
      <protection hidden="1"/>
    </xf>
    <xf numFmtId="0" fontId="16" fillId="0" borderId="6" xfId="0" applyFont="1" applyBorder="1" applyAlignment="1" applyProtection="1">
      <alignment horizontal="center" vertical="center" readingOrder="2"/>
      <protection hidden="1"/>
    </xf>
    <xf numFmtId="0" fontId="16" fillId="0" borderId="20" xfId="0" applyFont="1" applyBorder="1" applyAlignment="1" applyProtection="1">
      <alignment horizontal="center" vertical="center" readingOrder="2"/>
      <protection hidden="1"/>
    </xf>
    <xf numFmtId="0" fontId="16" fillId="0" borderId="4" xfId="0" applyFont="1" applyBorder="1" applyAlignment="1" applyProtection="1">
      <alignment horizontal="center" vertical="center" readingOrder="2"/>
      <protection hidden="1"/>
    </xf>
    <xf numFmtId="0" fontId="16" fillId="0" borderId="25" xfId="0" applyFont="1" applyBorder="1" applyAlignment="1" applyProtection="1">
      <alignment horizontal="center" vertical="center" readingOrder="2"/>
      <protection hidden="1"/>
    </xf>
    <xf numFmtId="0" fontId="10" fillId="0" borderId="13" xfId="0" applyFont="1" applyBorder="1" applyAlignment="1" applyProtection="1">
      <alignment horizontal="center" vertical="center" readingOrder="2"/>
      <protection locked="0"/>
    </xf>
    <xf numFmtId="0" fontId="1" fillId="0" borderId="13" xfId="0" applyFont="1" applyBorder="1" applyAlignment="1" applyProtection="1">
      <alignment horizontal="center" vertical="center" readingOrder="2"/>
      <protection hidden="1"/>
    </xf>
    <xf numFmtId="0" fontId="1" fillId="0" borderId="11" xfId="0" applyFont="1" applyBorder="1" applyAlignment="1" applyProtection="1">
      <alignment horizontal="center" vertical="center" readingOrder="2"/>
      <protection hidden="1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8" xfId="0" applyFont="1" applyBorder="1" applyAlignment="1" applyProtection="1">
      <alignment horizontal="center" vertical="center" readingOrder="2"/>
      <protection locked="0"/>
    </xf>
    <xf numFmtId="0" fontId="10" fillId="10" borderId="12" xfId="0" applyFont="1" applyFill="1" applyBorder="1" applyAlignment="1" applyProtection="1">
      <alignment horizontal="center" vertical="center" readingOrder="2"/>
      <protection hidden="1"/>
    </xf>
    <xf numFmtId="0" fontId="10" fillId="10" borderId="13" xfId="0" applyFont="1" applyFill="1" applyBorder="1" applyAlignment="1" applyProtection="1">
      <alignment horizontal="center" vertical="center" readingOrder="2"/>
      <protection hidden="1"/>
    </xf>
    <xf numFmtId="3" fontId="11" fillId="10" borderId="13" xfId="0" applyNumberFormat="1" applyFont="1" applyFill="1" applyBorder="1" applyAlignment="1" applyProtection="1">
      <alignment horizontal="center" vertical="center" readingOrder="2"/>
      <protection hidden="1"/>
    </xf>
    <xf numFmtId="3" fontId="11" fillId="10" borderId="11" xfId="0" applyNumberFormat="1" applyFont="1" applyFill="1" applyBorder="1" applyAlignment="1" applyProtection="1">
      <alignment horizontal="center" vertical="center" readingOrder="2"/>
      <protection hidden="1"/>
    </xf>
  </cellXfs>
  <cellStyles count="2">
    <cellStyle name="Normal" xfId="0" builtinId="0"/>
    <cellStyle name="Normal 2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U16"/>
  <sheetViews>
    <sheetView rightToLeft="1" topLeftCell="M1" zoomScaleNormal="100" workbookViewId="0">
      <pane ySplit="4" topLeftCell="A5" activePane="bottomLeft" state="frozen"/>
      <selection pane="bottomLeft" activeCell="Q6" sqref="Q6"/>
    </sheetView>
  </sheetViews>
  <sheetFormatPr defaultColWidth="9.140625" defaultRowHeight="22.5" x14ac:dyDescent="0.55000000000000004"/>
  <cols>
    <col min="1" max="1" width="12.140625" style="4" bestFit="1" customWidth="1"/>
    <col min="2" max="2" width="14.5703125" style="4" customWidth="1"/>
    <col min="3" max="3" width="21.5703125" style="4" customWidth="1"/>
    <col min="4" max="4" width="18.140625" style="4" customWidth="1"/>
    <col min="5" max="5" width="20.42578125" style="4" customWidth="1"/>
    <col min="6" max="7" width="18.7109375" style="3" customWidth="1"/>
    <col min="8" max="8" width="16.5703125" style="3" customWidth="1"/>
    <col min="9" max="9" width="12.85546875" style="4" customWidth="1"/>
    <col min="10" max="10" width="12.42578125" style="4" customWidth="1"/>
    <col min="11" max="11" width="12" style="3" customWidth="1"/>
    <col min="12" max="12" width="12" style="4" customWidth="1"/>
    <col min="13" max="13" width="27.5703125" style="1" customWidth="1"/>
    <col min="14" max="15" width="16.5703125" style="1" customWidth="1"/>
    <col min="16" max="16" width="17.5703125" style="1" customWidth="1"/>
    <col min="17" max="18" width="15.7109375" style="1" customWidth="1"/>
    <col min="19" max="19" width="14.5703125" style="1" customWidth="1"/>
    <col min="20" max="20" width="15.42578125" style="1" customWidth="1"/>
    <col min="21" max="21" width="17.42578125" style="1" customWidth="1"/>
    <col min="22" max="16384" width="9.140625" style="2"/>
  </cols>
  <sheetData>
    <row r="1" spans="1:21" ht="41.25" customHeight="1" x14ac:dyDescent="0.75">
      <c r="A1" s="71" t="s">
        <v>99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1" ht="38.25" customHeight="1" thickBot="1" x14ac:dyDescent="0.8">
      <c r="A2" s="68" t="s">
        <v>59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1" ht="43.5" customHeight="1" x14ac:dyDescent="0.55000000000000004">
      <c r="A3" s="69" t="s">
        <v>60</v>
      </c>
      <c r="B3" s="70"/>
      <c r="C3" s="70"/>
      <c r="D3" s="70"/>
      <c r="E3" s="70"/>
      <c r="F3" s="70"/>
      <c r="G3" s="70"/>
      <c r="H3" s="70"/>
      <c r="I3" s="70"/>
      <c r="J3" s="70"/>
      <c r="K3" s="72" t="s">
        <v>55</v>
      </c>
      <c r="L3" s="72"/>
      <c r="M3" s="72"/>
      <c r="N3" s="72"/>
      <c r="O3" s="72"/>
      <c r="P3" s="72"/>
      <c r="Q3" s="72"/>
      <c r="R3" s="72"/>
      <c r="S3" s="72"/>
      <c r="T3" s="72"/>
      <c r="U3" s="73"/>
    </row>
    <row r="4" spans="1:21" ht="72" x14ac:dyDescent="0.55000000000000004">
      <c r="A4" s="44" t="s">
        <v>44</v>
      </c>
      <c r="B4" s="32" t="s">
        <v>6</v>
      </c>
      <c r="C4" s="32" t="s">
        <v>27</v>
      </c>
      <c r="D4" s="32" t="s">
        <v>62</v>
      </c>
      <c r="E4" s="32" t="s">
        <v>61</v>
      </c>
      <c r="F4" s="33" t="s">
        <v>64</v>
      </c>
      <c r="G4" s="33" t="s">
        <v>79</v>
      </c>
      <c r="H4" s="33" t="s">
        <v>78</v>
      </c>
      <c r="I4" s="32" t="s">
        <v>66</v>
      </c>
      <c r="J4" s="32" t="s">
        <v>28</v>
      </c>
      <c r="K4" s="34" t="s">
        <v>34</v>
      </c>
      <c r="L4" s="40" t="s">
        <v>32</v>
      </c>
      <c r="M4" s="34" t="s">
        <v>92</v>
      </c>
      <c r="N4" s="35" t="s">
        <v>31</v>
      </c>
      <c r="O4" s="35" t="s">
        <v>98</v>
      </c>
      <c r="P4" s="35" t="s">
        <v>29</v>
      </c>
      <c r="Q4" s="35" t="s">
        <v>30</v>
      </c>
      <c r="R4" s="35" t="s">
        <v>116</v>
      </c>
      <c r="S4" s="34" t="s">
        <v>81</v>
      </c>
      <c r="T4" s="34" t="s">
        <v>82</v>
      </c>
      <c r="U4" s="45" t="s">
        <v>39</v>
      </c>
    </row>
    <row r="5" spans="1:21" ht="36.75" customHeight="1" x14ac:dyDescent="0.55000000000000004">
      <c r="A5" s="46">
        <v>1</v>
      </c>
      <c r="B5" s="28" t="s">
        <v>100</v>
      </c>
      <c r="C5" s="28" t="s">
        <v>101</v>
      </c>
      <c r="D5" s="28" t="s">
        <v>97</v>
      </c>
      <c r="E5" s="28"/>
      <c r="F5" s="31"/>
      <c r="G5" s="31" t="s">
        <v>119</v>
      </c>
      <c r="H5" s="31" t="s">
        <v>120</v>
      </c>
      <c r="I5" s="28">
        <v>1</v>
      </c>
      <c r="J5" s="28">
        <v>1</v>
      </c>
      <c r="K5" s="31" t="s">
        <v>77</v>
      </c>
      <c r="L5" s="28">
        <v>31</v>
      </c>
      <c r="M5" s="5">
        <v>3463656</v>
      </c>
      <c r="N5" s="5">
        <v>720</v>
      </c>
      <c r="O5" s="5">
        <v>186400</v>
      </c>
      <c r="P5" s="5">
        <v>15</v>
      </c>
      <c r="Q5" s="5">
        <v>30</v>
      </c>
      <c r="R5" s="5">
        <v>8</v>
      </c>
      <c r="S5" s="5">
        <v>0</v>
      </c>
      <c r="T5" s="5">
        <v>0</v>
      </c>
      <c r="U5" s="47">
        <v>0</v>
      </c>
    </row>
    <row r="6" spans="1:21" ht="36.75" customHeight="1" x14ac:dyDescent="0.55000000000000004">
      <c r="A6" s="46">
        <v>2</v>
      </c>
      <c r="B6" s="28" t="s">
        <v>102</v>
      </c>
      <c r="C6" s="28" t="s">
        <v>103</v>
      </c>
      <c r="D6" s="28" t="s">
        <v>65</v>
      </c>
      <c r="E6" s="28"/>
      <c r="F6" s="31"/>
      <c r="G6" s="31"/>
      <c r="H6" s="31"/>
      <c r="I6" s="28">
        <v>1</v>
      </c>
      <c r="J6" s="28">
        <v>2</v>
      </c>
      <c r="K6" s="31" t="s">
        <v>77</v>
      </c>
      <c r="L6" s="28">
        <v>31</v>
      </c>
      <c r="M6" s="5">
        <v>5200000</v>
      </c>
      <c r="N6" s="5">
        <v>940</v>
      </c>
      <c r="O6" s="5">
        <v>94000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47">
        <v>0</v>
      </c>
    </row>
    <row r="7" spans="1:21" ht="36.75" customHeight="1" x14ac:dyDescent="0.55000000000000004">
      <c r="A7" s="46">
        <v>3</v>
      </c>
      <c r="B7" s="28" t="s">
        <v>104</v>
      </c>
      <c r="C7" s="28" t="s">
        <v>105</v>
      </c>
      <c r="D7" s="28" t="s">
        <v>65</v>
      </c>
      <c r="E7" s="28"/>
      <c r="F7" s="31"/>
      <c r="G7" s="31"/>
      <c r="H7" s="31"/>
      <c r="I7" s="28">
        <v>0</v>
      </c>
      <c r="J7" s="28">
        <v>0</v>
      </c>
      <c r="K7" s="31" t="s">
        <v>77</v>
      </c>
      <c r="L7" s="28">
        <v>31</v>
      </c>
      <c r="M7" s="5">
        <v>3463656</v>
      </c>
      <c r="N7" s="5">
        <v>365</v>
      </c>
      <c r="O7" s="5">
        <v>94000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47">
        <v>0</v>
      </c>
    </row>
    <row r="8" spans="1:21" ht="36.75" customHeight="1" x14ac:dyDescent="0.55000000000000004">
      <c r="A8" s="46">
        <v>4</v>
      </c>
      <c r="B8" s="28" t="s">
        <v>106</v>
      </c>
      <c r="C8" s="28" t="s">
        <v>107</v>
      </c>
      <c r="D8" s="28" t="s">
        <v>65</v>
      </c>
      <c r="E8" s="28"/>
      <c r="F8" s="31"/>
      <c r="G8" s="31"/>
      <c r="H8" s="31"/>
      <c r="I8" s="28">
        <v>1</v>
      </c>
      <c r="J8" s="28">
        <v>1</v>
      </c>
      <c r="K8" s="31" t="s">
        <v>77</v>
      </c>
      <c r="L8" s="28">
        <v>31</v>
      </c>
      <c r="M8" s="5">
        <v>5200000</v>
      </c>
      <c r="N8" s="5">
        <v>365</v>
      </c>
      <c r="O8" s="5">
        <v>94000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47">
        <v>0</v>
      </c>
    </row>
    <row r="9" spans="1:21" ht="36.75" customHeight="1" x14ac:dyDescent="0.55000000000000004">
      <c r="A9" s="46">
        <v>5</v>
      </c>
      <c r="B9" s="28" t="s">
        <v>108</v>
      </c>
      <c r="C9" s="28" t="s">
        <v>109</v>
      </c>
      <c r="D9" s="28" t="s">
        <v>65</v>
      </c>
      <c r="E9" s="28"/>
      <c r="F9" s="31"/>
      <c r="G9" s="31"/>
      <c r="H9" s="31"/>
      <c r="I9" s="28">
        <v>0</v>
      </c>
      <c r="J9" s="28">
        <v>0</v>
      </c>
      <c r="K9" s="31" t="s">
        <v>77</v>
      </c>
      <c r="L9" s="28">
        <v>31</v>
      </c>
      <c r="M9" s="5">
        <v>5200000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47">
        <v>0</v>
      </c>
    </row>
    <row r="10" spans="1:21" ht="36.75" customHeight="1" x14ac:dyDescent="0.55000000000000004">
      <c r="A10" s="46">
        <v>6</v>
      </c>
      <c r="B10" s="28" t="s">
        <v>110</v>
      </c>
      <c r="C10" s="28" t="s">
        <v>111</v>
      </c>
      <c r="D10" s="28" t="s">
        <v>65</v>
      </c>
      <c r="E10" s="28"/>
      <c r="F10" s="31"/>
      <c r="G10" s="31"/>
      <c r="H10" s="38"/>
      <c r="I10" s="28">
        <v>0</v>
      </c>
      <c r="J10" s="28">
        <v>0</v>
      </c>
      <c r="K10" s="31" t="s">
        <v>77</v>
      </c>
      <c r="L10" s="28">
        <v>31</v>
      </c>
      <c r="M10" s="5">
        <v>5300000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47">
        <v>0</v>
      </c>
    </row>
    <row r="11" spans="1:21" ht="36.75" customHeight="1" x14ac:dyDescent="0.55000000000000004">
      <c r="A11" s="46">
        <v>7</v>
      </c>
      <c r="B11" s="28" t="s">
        <v>112</v>
      </c>
      <c r="C11" s="28" t="s">
        <v>72</v>
      </c>
      <c r="D11" s="28" t="s">
        <v>76</v>
      </c>
      <c r="E11" s="28"/>
      <c r="F11" s="31"/>
      <c r="G11" s="31"/>
      <c r="H11" s="31"/>
      <c r="I11" s="28">
        <v>1</v>
      </c>
      <c r="J11" s="28">
        <v>2</v>
      </c>
      <c r="K11" s="31" t="s">
        <v>77</v>
      </c>
      <c r="L11" s="28">
        <v>31</v>
      </c>
      <c r="M11" s="5">
        <v>8966680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47">
        <v>0</v>
      </c>
    </row>
    <row r="12" spans="1:21" ht="36.75" customHeight="1" x14ac:dyDescent="0.55000000000000004">
      <c r="A12" s="46">
        <v>8</v>
      </c>
      <c r="B12" s="28" t="s">
        <v>69</v>
      </c>
      <c r="C12" s="28" t="s">
        <v>73</v>
      </c>
      <c r="D12" s="28" t="s">
        <v>75</v>
      </c>
      <c r="E12" s="28"/>
      <c r="F12" s="31"/>
      <c r="G12" s="31"/>
      <c r="H12" s="31"/>
      <c r="I12" s="28">
        <v>0</v>
      </c>
      <c r="J12" s="28">
        <v>0</v>
      </c>
      <c r="K12" s="31" t="s">
        <v>77</v>
      </c>
      <c r="L12" s="28">
        <v>31</v>
      </c>
      <c r="M12" s="5">
        <v>3463656</v>
      </c>
      <c r="N12" s="5">
        <v>0</v>
      </c>
      <c r="O12" s="5"/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47">
        <v>0</v>
      </c>
    </row>
    <row r="13" spans="1:21" ht="36.75" customHeight="1" x14ac:dyDescent="0.55000000000000004">
      <c r="A13" s="46">
        <v>9</v>
      </c>
      <c r="B13" s="28" t="s">
        <v>70</v>
      </c>
      <c r="C13" s="28" t="s">
        <v>74</v>
      </c>
      <c r="D13" s="28" t="s">
        <v>63</v>
      </c>
      <c r="E13" s="28"/>
      <c r="F13" s="31"/>
      <c r="G13" s="31"/>
      <c r="H13" s="38"/>
      <c r="I13" s="28">
        <v>0</v>
      </c>
      <c r="J13" s="28">
        <v>0</v>
      </c>
      <c r="K13" s="31" t="s">
        <v>77</v>
      </c>
      <c r="L13" s="28">
        <v>31</v>
      </c>
      <c r="M13" s="5">
        <v>3463656</v>
      </c>
      <c r="N13" s="5">
        <v>0</v>
      </c>
      <c r="O13" s="5"/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47">
        <v>0</v>
      </c>
    </row>
    <row r="14" spans="1:21" ht="36.75" customHeight="1" thickBot="1" x14ac:dyDescent="0.6">
      <c r="A14" s="48">
        <v>10</v>
      </c>
      <c r="B14" s="28" t="s">
        <v>71</v>
      </c>
      <c r="C14" s="28" t="s">
        <v>113</v>
      </c>
      <c r="D14" s="49" t="s">
        <v>76</v>
      </c>
      <c r="E14" s="49"/>
      <c r="F14" s="50"/>
      <c r="G14" s="50" t="s">
        <v>114</v>
      </c>
      <c r="H14" s="50" t="s">
        <v>115</v>
      </c>
      <c r="I14" s="49">
        <v>0</v>
      </c>
      <c r="J14" s="49">
        <v>0</v>
      </c>
      <c r="K14" s="50" t="s">
        <v>77</v>
      </c>
      <c r="L14" s="49">
        <v>31</v>
      </c>
      <c r="M14" s="5">
        <v>3463656</v>
      </c>
      <c r="N14" s="51">
        <v>0</v>
      </c>
      <c r="O14" s="51"/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2">
        <v>0</v>
      </c>
    </row>
    <row r="15" spans="1:21" ht="42.75" customHeight="1" x14ac:dyDescent="0.55000000000000004">
      <c r="A15" s="74" t="s">
        <v>90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spans="1:21" x14ac:dyDescent="0.55000000000000004">
      <c r="A16" s="4">
        <f>COLUMN()</f>
        <v>1</v>
      </c>
      <c r="B16" s="4">
        <f>COLUMN()</f>
        <v>2</v>
      </c>
      <c r="C16" s="4">
        <f>COLUMN()</f>
        <v>3</v>
      </c>
      <c r="D16" s="4">
        <f>COLUMN()</f>
        <v>4</v>
      </c>
      <c r="E16" s="4">
        <f>COLUMN()</f>
        <v>5</v>
      </c>
      <c r="F16" s="4">
        <f>COLUMN()</f>
        <v>6</v>
      </c>
      <c r="G16" s="4">
        <f>COLUMN()</f>
        <v>7</v>
      </c>
      <c r="H16" s="4">
        <f>COLUMN()</f>
        <v>8</v>
      </c>
      <c r="I16" s="4">
        <f>COLUMN()</f>
        <v>9</v>
      </c>
      <c r="J16" s="4">
        <f>COLUMN()</f>
        <v>10</v>
      </c>
      <c r="K16" s="4">
        <f>COLUMN()</f>
        <v>11</v>
      </c>
      <c r="L16" s="4">
        <f>COLUMN()</f>
        <v>12</v>
      </c>
      <c r="M16" s="4">
        <f>COLUMN()</f>
        <v>13</v>
      </c>
      <c r="N16" s="4">
        <f>COLUMN()</f>
        <v>14</v>
      </c>
      <c r="O16" s="4">
        <f>COLUMN()</f>
        <v>15</v>
      </c>
      <c r="P16" s="4">
        <f>COLUMN()</f>
        <v>16</v>
      </c>
      <c r="Q16" s="4">
        <f>COLUMN()</f>
        <v>17</v>
      </c>
      <c r="R16" s="4">
        <f>COLUMN()</f>
        <v>18</v>
      </c>
      <c r="S16" s="4">
        <f>COLUMN()</f>
        <v>19</v>
      </c>
      <c r="T16" s="4">
        <f>COLUMN()</f>
        <v>20</v>
      </c>
      <c r="U16" s="4">
        <f>COLUMN()</f>
        <v>21</v>
      </c>
    </row>
  </sheetData>
  <mergeCells count="5">
    <mergeCell ref="A2:T2"/>
    <mergeCell ref="A3:J3"/>
    <mergeCell ref="A1:T1"/>
    <mergeCell ref="K3:U3"/>
    <mergeCell ref="A15:U15"/>
  </mergeCells>
  <phoneticPr fontId="14" type="noConversion"/>
  <conditionalFormatting sqref="G2:G4 G17:G1048576 G11:G14">
    <cfRule type="duplicateValues" dxfId="5" priority="6"/>
  </conditionalFormatting>
  <conditionalFormatting sqref="G5:G8">
    <cfRule type="duplicateValues" dxfId="4" priority="4"/>
  </conditionalFormatting>
  <conditionalFormatting sqref="G9:G10">
    <cfRule type="duplicateValues" dxfId="3" priority="2"/>
  </conditionalFormatting>
  <conditionalFormatting sqref="H2:H4 H17:H1048576 H11:H14">
    <cfRule type="duplicateValues" dxfId="2" priority="5"/>
  </conditionalFormatting>
  <conditionalFormatting sqref="H5:H8">
    <cfRule type="duplicateValues" dxfId="1" priority="3"/>
  </conditionalFormatting>
  <conditionalFormatting sqref="H9:H10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W25"/>
  <sheetViews>
    <sheetView rightToLeft="1" tabSelected="1" view="pageBreakPreview" zoomScale="80" zoomScaleNormal="55" zoomScaleSheetLayoutView="80" workbookViewId="0">
      <pane xSplit="3" ySplit="4" topLeftCell="D5" activePane="bottomRight" state="frozen"/>
      <selection pane="topRight" activeCell="G1" sqref="G1"/>
      <selection pane="bottomLeft" activeCell="A6" sqref="A6"/>
      <selection pane="bottomRight" activeCell="L5" sqref="L5"/>
    </sheetView>
  </sheetViews>
  <sheetFormatPr defaultColWidth="9.140625" defaultRowHeight="12.75" x14ac:dyDescent="0.2"/>
  <cols>
    <col min="1" max="1" width="9.140625" style="19" customWidth="1"/>
    <col min="2" max="2" width="12.85546875" style="20" bestFit="1" customWidth="1"/>
    <col min="3" max="3" width="25.42578125" style="21" customWidth="1"/>
    <col min="4" max="4" width="17" style="22" customWidth="1"/>
    <col min="5" max="5" width="19.42578125" style="22" customWidth="1"/>
    <col min="6" max="6" width="17" style="22" customWidth="1"/>
    <col min="7" max="7" width="13" style="22" customWidth="1"/>
    <col min="8" max="9" width="14.42578125" style="22" customWidth="1"/>
    <col min="10" max="10" width="17.85546875" style="22" customWidth="1"/>
    <col min="11" max="11" width="15.140625" style="22" customWidth="1"/>
    <col min="12" max="12" width="15.28515625" style="22" customWidth="1"/>
    <col min="13" max="14" width="13.42578125" style="22" customWidth="1"/>
    <col min="15" max="15" width="18.140625" style="16" customWidth="1"/>
    <col min="16" max="16" width="17.28515625" style="16" customWidth="1"/>
    <col min="17" max="17" width="17.7109375" style="16" customWidth="1"/>
    <col min="18" max="18" width="23" style="16" customWidth="1"/>
    <col min="19" max="19" width="20.5703125" style="16" customWidth="1"/>
    <col min="20" max="20" width="18.42578125" style="16" customWidth="1"/>
    <col min="21" max="21" width="21.85546875" style="16" customWidth="1"/>
    <col min="22" max="22" width="15.5703125" style="16" customWidth="1"/>
    <col min="23" max="23" width="19.7109375" style="16" customWidth="1"/>
    <col min="24" max="16384" width="9.140625" style="16"/>
  </cols>
  <sheetData>
    <row r="1" spans="1:23" ht="60.75" customHeight="1" thickBot="1" x14ac:dyDescent="0.25">
      <c r="A1" s="98" t="s">
        <v>86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6" t="str">
        <f>'جدول ورود اطلاعات پرسنل'!K5</f>
        <v>فروردین</v>
      </c>
      <c r="U1" s="97"/>
      <c r="V1" s="96" t="s">
        <v>94</v>
      </c>
      <c r="W1" s="96"/>
    </row>
    <row r="2" spans="1:23" ht="51.75" customHeight="1" thickBot="1" x14ac:dyDescent="0.25">
      <c r="A2" s="77" t="s">
        <v>37</v>
      </c>
      <c r="B2" s="78"/>
      <c r="C2" s="78"/>
      <c r="D2" s="78"/>
      <c r="E2" s="79"/>
      <c r="F2" s="86" t="s">
        <v>87</v>
      </c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7"/>
      <c r="S2" s="113" t="s">
        <v>88</v>
      </c>
      <c r="T2" s="86"/>
      <c r="U2" s="86"/>
      <c r="V2" s="87"/>
      <c r="W2" s="99" t="s">
        <v>35</v>
      </c>
    </row>
    <row r="3" spans="1:23" ht="33" customHeight="1" x14ac:dyDescent="0.2">
      <c r="A3" s="103" t="s">
        <v>80</v>
      </c>
      <c r="B3" s="107" t="s">
        <v>6</v>
      </c>
      <c r="C3" s="109" t="s">
        <v>27</v>
      </c>
      <c r="D3" s="80" t="s">
        <v>93</v>
      </c>
      <c r="E3" s="105" t="s">
        <v>91</v>
      </c>
      <c r="F3" s="84" t="s">
        <v>0</v>
      </c>
      <c r="G3" s="82" t="s">
        <v>12</v>
      </c>
      <c r="H3" s="82" t="s">
        <v>36</v>
      </c>
      <c r="I3" s="101" t="s">
        <v>117</v>
      </c>
      <c r="J3" s="82" t="s">
        <v>16</v>
      </c>
      <c r="K3" s="90" t="s">
        <v>15</v>
      </c>
      <c r="L3" s="94" t="s">
        <v>33</v>
      </c>
      <c r="M3" s="94" t="s">
        <v>57</v>
      </c>
      <c r="N3" s="94" t="s">
        <v>58</v>
      </c>
      <c r="O3" s="92" t="s">
        <v>1</v>
      </c>
      <c r="P3" s="121" t="s">
        <v>23</v>
      </c>
      <c r="Q3" s="121" t="s">
        <v>14</v>
      </c>
      <c r="R3" s="88" t="s">
        <v>2</v>
      </c>
      <c r="S3" s="114" t="s">
        <v>40</v>
      </c>
      <c r="T3" s="116" t="s">
        <v>41</v>
      </c>
      <c r="U3" s="116" t="s">
        <v>39</v>
      </c>
      <c r="V3" s="118" t="s">
        <v>38</v>
      </c>
      <c r="W3" s="100"/>
    </row>
    <row r="4" spans="1:23" ht="40.5" customHeight="1" x14ac:dyDescent="0.2">
      <c r="A4" s="104"/>
      <c r="B4" s="108"/>
      <c r="C4" s="110"/>
      <c r="D4" s="81"/>
      <c r="E4" s="106"/>
      <c r="F4" s="85"/>
      <c r="G4" s="83"/>
      <c r="H4" s="83"/>
      <c r="I4" s="102"/>
      <c r="J4" s="83"/>
      <c r="K4" s="91"/>
      <c r="L4" s="95"/>
      <c r="M4" s="95"/>
      <c r="N4" s="95"/>
      <c r="O4" s="93"/>
      <c r="P4" s="122"/>
      <c r="Q4" s="122"/>
      <c r="R4" s="89"/>
      <c r="S4" s="115"/>
      <c r="T4" s="117"/>
      <c r="U4" s="117"/>
      <c r="V4" s="119"/>
      <c r="W4" s="100"/>
    </row>
    <row r="5" spans="1:23" ht="76.5" customHeight="1" x14ac:dyDescent="0.2">
      <c r="A5" s="36">
        <f>'جدول ورود اطلاعات پرسنل'!A5</f>
        <v>1</v>
      </c>
      <c r="B5" s="39" t="str">
        <f>'جدول ورود اطلاعات پرسنل'!B5</f>
        <v>نام 1</v>
      </c>
      <c r="C5" s="39" t="str">
        <f>'جدول ورود اطلاعات پرسنل'!C5</f>
        <v>نام خانوادگی 2</v>
      </c>
      <c r="D5" s="17">
        <f>IF('جدول ورود اطلاعات پرسنل'!N5&gt;365,('جدول ورود اطلاعات پرسنل'!M5+166667)*1.45+519549,'جدول ورود اطلاعات پرسنل'!M5*1.45+519549)</f>
        <v>5783517.3499999996</v>
      </c>
      <c r="E5" s="53">
        <f>D5*'جدول ورود اطلاعات پرسنل'!L5</f>
        <v>179289037.84999999</v>
      </c>
      <c r="F5" s="17">
        <f>((16625550*'جدول ورود اطلاعات پرسنل'!J5) / 31*'جدول ورود اطلاعات پرسنل'!L5)</f>
        <v>16625550.000000002</v>
      </c>
      <c r="G5" s="17">
        <f>IF('جدول ورود اطلاعات پرسنل'!N5&gt;=365,('جدول ورود اطلاعات پرسنل'!O5*1.45+166667)*'جدول ورود اطلاعات پرسنل'!L5,0)</f>
        <v>13545357</v>
      </c>
      <c r="H5" s="17">
        <f>((((E5+G5) / 220)*1.4)*'جدول ورود اطلاعات پرسنل'!P5+(((E5+G5) / 13200)*1.4)*'جدول ورود اطلاعات پرسنل'!Q5)</f>
        <v>19020483.492022727</v>
      </c>
      <c r="I5" s="17">
        <f>IF('جدول ورود اطلاعات پرسنل'!R5&gt;0,(((E5/31)+(G5/31))*30) / 220*'جدول ورود اطلاعات پرسنل'!R5,0)</f>
        <v>6785961.1090909094</v>
      </c>
      <c r="J5" s="17">
        <f>IF('جدول ورود اطلاعات پرسنل'!L5&gt;=31,22000000,22000000 / 31*'جدول ورود اطلاعات پرسنل'!L5)</f>
        <v>22000000</v>
      </c>
      <c r="K5" s="17">
        <f>IF('جدول ورود اطلاعات پرسنل'!L5&gt;=31,30000000,(30000000 / 31)*'جدول ورود اطلاعات پرسنل'!L5)</f>
        <v>30000000</v>
      </c>
      <c r="L5" s="17">
        <f>IF('جدول ورود اطلاعات پرسنل'!I5=1,5000000 / 31*'جدول ورود اطلاعات پرسنل'!L5,0)</f>
        <v>5000000</v>
      </c>
      <c r="M5" s="17">
        <f>('جدول ورود اطلاعات پرسنل'!S5/31)*'جدول ورود اطلاعات پرسنل'!L5</f>
        <v>0</v>
      </c>
      <c r="N5" s="17">
        <f>('جدول ورود اطلاعات پرسنل'!T5/31)*'جدول ورود اطلاعات پرسنل'!L5</f>
        <v>0</v>
      </c>
      <c r="O5" s="17">
        <f>D5*'جدول ورود اطلاعات پرسنل'!L5</f>
        <v>179289037.84999999</v>
      </c>
      <c r="P5" s="56">
        <f>O5+J5+K5+H5+G5+L5+M5+N5</f>
        <v>268854878.34202272</v>
      </c>
      <c r="Q5" s="18">
        <f>(F5+G5+H5+O5+L5+M5+N5+J5+K5)-S5</f>
        <v>266660586.85808113</v>
      </c>
      <c r="R5" s="57">
        <f>O5+K5+J5+H5+G5+F5+L5+I5+M5+N5</f>
        <v>292266389.45111364</v>
      </c>
      <c r="S5" s="17">
        <f>P5*7%</f>
        <v>18819841.483941592</v>
      </c>
      <c r="T5" s="17">
        <f>IF(Q5&lt;=400000000,0,IF(Q5&lt;=800000000,(Q5-400000000)*10%,IF(Q5&lt;=1000000000,(Q5-800000000)*15%+40000000,IF(Q5&lt;=1200000000,(Q5-1000000000)*20%+70000000,IF(Q5&lt;=1400000000,(Q5-1200000000)*25%+110000000,IF(Q5&gt;1400000000,(Q5-1400000000)*30%+160000000))))))</f>
        <v>0</v>
      </c>
      <c r="U5" s="17">
        <f>'جدول ورود اطلاعات پرسنل'!U5</f>
        <v>0</v>
      </c>
      <c r="V5" s="67">
        <v>0</v>
      </c>
      <c r="W5" s="56">
        <f t="shared" ref="W5:W14" si="0">R5-(S5+T5+U5+V5)</f>
        <v>273446547.96717203</v>
      </c>
    </row>
    <row r="6" spans="1:23" ht="76.5" customHeight="1" x14ac:dyDescent="0.2">
      <c r="A6" s="36">
        <f>'جدول ورود اطلاعات پرسنل'!A6</f>
        <v>2</v>
      </c>
      <c r="B6" s="39" t="str">
        <f>'جدول ورود اطلاعات پرسنل'!B6</f>
        <v>نام 2</v>
      </c>
      <c r="C6" s="39" t="str">
        <f>'جدول ورود اطلاعات پرسنل'!C6</f>
        <v>نام خانوادگی 3</v>
      </c>
      <c r="D6" s="17">
        <f>IF('جدول ورود اطلاعات پرسنل'!N6&gt;365,('جدول ورود اطلاعات پرسنل'!M6+166667)*1.45+519549,'جدول ورود اطلاعات پرسنل'!M6*1.45+519549)</f>
        <v>8301216.1499999994</v>
      </c>
      <c r="E6" s="53">
        <f>D6*'جدول ورود اطلاعات پرسنل'!L6</f>
        <v>257337700.64999998</v>
      </c>
      <c r="F6" s="17">
        <f>((16625550*'جدول ورود اطلاعات پرسنل'!J6) / 31*'جدول ورود اطلاعات پرسنل'!L6)</f>
        <v>33251100.000000004</v>
      </c>
      <c r="G6" s="17">
        <f>IF('جدول ورود اطلاعات پرسنل'!N6&gt;=365,('جدول ورود اطلاعات پرسنل'!O6*1.45+166667)*'جدول ورود اطلاعات پرسنل'!L6,0)</f>
        <v>9391977</v>
      </c>
      <c r="H6" s="17">
        <f>((((E6+G6) / 220)*1.4)*'جدول ورود اطلاعات پرسنل'!P6+(((E6+G6) / 13200)*1.4)*'جدول ورود اطلاعات پرسنل'!Q6)</f>
        <v>0</v>
      </c>
      <c r="I6" s="17">
        <f>IF('جدول ورود اطلاعات پرسنل'!R6&gt;0,(((E6/31)+(G6/31))*30) / 220*'جدول ورود اطلاعات پرسنل'!R6,0)</f>
        <v>0</v>
      </c>
      <c r="J6" s="17">
        <f>IF('جدول ورود اطلاعات پرسنل'!L6&gt;=31,22000000,22000000 / 31*'جدول ورود اطلاعات پرسنل'!L6)</f>
        <v>22000000</v>
      </c>
      <c r="K6" s="17">
        <f>IF('جدول ورود اطلاعات پرسنل'!L6&gt;=31,30000000,(30000000 / 31)*'جدول ورود اطلاعات پرسنل'!L6)</f>
        <v>30000000</v>
      </c>
      <c r="L6" s="17">
        <f>IF('جدول ورود اطلاعات پرسنل'!I6=1,5000000 / 31*'جدول ورود اطلاعات پرسنل'!L6,0)</f>
        <v>5000000</v>
      </c>
      <c r="M6" s="17">
        <f>('جدول ورود اطلاعات پرسنل'!S6/31)*'جدول ورود اطلاعات پرسنل'!L6</f>
        <v>0</v>
      </c>
      <c r="N6" s="17">
        <f>('جدول ورود اطلاعات پرسنل'!T6/31)*'جدول ورود اطلاعات پرسنل'!L6</f>
        <v>0</v>
      </c>
      <c r="O6" s="17">
        <f>D6*'جدول ورود اطلاعات پرسنل'!L6</f>
        <v>257337700.64999998</v>
      </c>
      <c r="P6" s="56">
        <f t="shared" ref="P6:P14" si="1">O6+J6+K6+H6+G6+L6+M6+N6</f>
        <v>323729677.64999998</v>
      </c>
      <c r="Q6" s="18">
        <f t="shared" ref="Q6:Q14" si="2">(F6+G6+H6+O6+L6+M6+N6+J6+K6)-S6</f>
        <v>334319700.21449995</v>
      </c>
      <c r="R6" s="57">
        <f t="shared" ref="R6:R14" si="3">O6+K6+J6+H6+G6+F6+L6+I6+M6+N6</f>
        <v>356980777.64999998</v>
      </c>
      <c r="S6" s="17">
        <f t="shared" ref="S6:S14" si="4">P6*7%</f>
        <v>22661077.4355</v>
      </c>
      <c r="T6" s="17">
        <f t="shared" ref="T6:T14" si="5">IF(Q6&lt;=400000000,0,IF(Q6&lt;=800000000,(Q6-400000000)*10%,IF(Q6&lt;=1000000000,(Q6-800000000)*15%+40000000,IF(Q6&lt;=1200000000,(Q6-1000000000)*20%+70000000,IF(Q6&lt;=1400000000,(Q6-1200000000)*25%+110000000,IF(Q6&gt;1400000000,(Q6-1400000000)*30%+160000000))))))</f>
        <v>0</v>
      </c>
      <c r="U6" s="17">
        <f>'جدول ورود اطلاعات پرسنل'!U6</f>
        <v>0</v>
      </c>
      <c r="V6" s="67">
        <v>0</v>
      </c>
      <c r="W6" s="56">
        <f t="shared" si="0"/>
        <v>334319700.21449995</v>
      </c>
    </row>
    <row r="7" spans="1:23" ht="76.5" customHeight="1" x14ac:dyDescent="0.2">
      <c r="A7" s="36">
        <f>'جدول ورود اطلاعات پرسنل'!A7</f>
        <v>3</v>
      </c>
      <c r="B7" s="39" t="str">
        <f>'جدول ورود اطلاعات پرسنل'!B7</f>
        <v>نام 3</v>
      </c>
      <c r="C7" s="39" t="str">
        <f>'جدول ورود اطلاعات پرسنل'!C7</f>
        <v>نام خانوادگی 4</v>
      </c>
      <c r="D7" s="17">
        <f>IF('جدول ورود اطلاعات پرسنل'!N7&gt;365,('جدول ورود اطلاعات پرسنل'!M7+166667)*1.45+519549,'جدول ورود اطلاعات پرسنل'!M7*1.45+519549)</f>
        <v>5541850.2000000002</v>
      </c>
      <c r="E7" s="53">
        <f>D7*'جدول ورود اطلاعات پرسنل'!L7</f>
        <v>171797356.20000002</v>
      </c>
      <c r="F7" s="17">
        <f>((16625550*'جدول ورود اطلاعات پرسنل'!J7) / 31*'جدول ورود اطلاعات پرسنل'!L7)</f>
        <v>0</v>
      </c>
      <c r="G7" s="17">
        <f>IF('جدول ورود اطلاعات پرسنل'!N7&gt;=365,('جدول ورود اطلاعات پرسنل'!O7*1.45+166667)*'جدول ورود اطلاعات پرسنل'!L7,0)</f>
        <v>9391977</v>
      </c>
      <c r="H7" s="17">
        <f>((((E7+G7) / 220)*1.4)*'جدول ورود اطلاعات پرسنل'!P7+(((E7+G7) / 13200)*1.4)*'جدول ورود اطلاعات پرسنل'!Q7)</f>
        <v>0</v>
      </c>
      <c r="I7" s="17">
        <f>IF('جدول ورود اطلاعات پرسنل'!R7&gt;0,(((E7/31)+(G7/31))*30) / 220*'جدول ورود اطلاعات پرسنل'!R7,0)</f>
        <v>0</v>
      </c>
      <c r="J7" s="17">
        <f>IF('جدول ورود اطلاعات پرسنل'!L7&gt;=31,22000000,22000000 / 31*'جدول ورود اطلاعات پرسنل'!L7)</f>
        <v>22000000</v>
      </c>
      <c r="K7" s="17">
        <f>IF('جدول ورود اطلاعات پرسنل'!L7&gt;=31,30000000,(30000000 / 31)*'جدول ورود اطلاعات پرسنل'!L7)</f>
        <v>30000000</v>
      </c>
      <c r="L7" s="17">
        <f>IF('جدول ورود اطلاعات پرسنل'!I7=1,5000000 / 31*'جدول ورود اطلاعات پرسنل'!L7,0)</f>
        <v>0</v>
      </c>
      <c r="M7" s="17">
        <f>('جدول ورود اطلاعات پرسنل'!S7/31)*'جدول ورود اطلاعات پرسنل'!L7</f>
        <v>0</v>
      </c>
      <c r="N7" s="17">
        <f>('جدول ورود اطلاعات پرسنل'!T7/31)*'جدول ورود اطلاعات پرسنل'!L7</f>
        <v>0</v>
      </c>
      <c r="O7" s="17">
        <f>D7*'جدول ورود اطلاعات پرسنل'!L7</f>
        <v>171797356.20000002</v>
      </c>
      <c r="P7" s="56">
        <f t="shared" si="1"/>
        <v>233189333.20000002</v>
      </c>
      <c r="Q7" s="18">
        <f t="shared" si="2"/>
        <v>216866079.87600002</v>
      </c>
      <c r="R7" s="57">
        <f t="shared" si="3"/>
        <v>233189333.20000002</v>
      </c>
      <c r="S7" s="17">
        <f t="shared" si="4"/>
        <v>16323253.324000003</v>
      </c>
      <c r="T7" s="17">
        <f t="shared" si="5"/>
        <v>0</v>
      </c>
      <c r="U7" s="17">
        <f>'جدول ورود اطلاعات پرسنل'!U7</f>
        <v>0</v>
      </c>
      <c r="V7" s="67">
        <v>0</v>
      </c>
      <c r="W7" s="56">
        <f t="shared" si="0"/>
        <v>216866079.87600002</v>
      </c>
    </row>
    <row r="8" spans="1:23" ht="76.5" customHeight="1" x14ac:dyDescent="0.2">
      <c r="A8" s="36">
        <f>'جدول ورود اطلاعات پرسنل'!A8</f>
        <v>4</v>
      </c>
      <c r="B8" s="39" t="str">
        <f>'جدول ورود اطلاعات پرسنل'!B8</f>
        <v>نام 4</v>
      </c>
      <c r="C8" s="39" t="str">
        <f>'جدول ورود اطلاعات پرسنل'!C8</f>
        <v>نام خانوادگی 5</v>
      </c>
      <c r="D8" s="17">
        <f>IF('جدول ورود اطلاعات پرسنل'!N8&gt;365,('جدول ورود اطلاعات پرسنل'!M8+166667)*1.45+519549,'جدول ورود اطلاعات پرسنل'!M8*1.45+519549)</f>
        <v>8059549</v>
      </c>
      <c r="E8" s="53">
        <f>D8*'جدول ورود اطلاعات پرسنل'!L8</f>
        <v>249846019</v>
      </c>
      <c r="F8" s="17">
        <f>((16625550*'جدول ورود اطلاعات پرسنل'!J8) / 31*'جدول ورود اطلاعات پرسنل'!L8)</f>
        <v>16625550.000000002</v>
      </c>
      <c r="G8" s="17">
        <f>IF('جدول ورود اطلاعات پرسنل'!N8&gt;=365,('جدول ورود اطلاعات پرسنل'!O8*1.45+166667)*'جدول ورود اطلاعات پرسنل'!L8,0)</f>
        <v>9391977</v>
      </c>
      <c r="H8" s="17">
        <f>((((E8+G8) / 220)*1.4)*'جدول ورود اطلاعات پرسنل'!P8+(((E8+G8) / 13200)*1.4)*'جدول ورود اطلاعات پرسنل'!Q8)</f>
        <v>0</v>
      </c>
      <c r="I8" s="17">
        <f>IF('جدول ورود اطلاعات پرسنل'!R8&gt;0,(((E8/31)+(G8/31))*30) / 220*'جدول ورود اطلاعات پرسنل'!R8,0)</f>
        <v>0</v>
      </c>
      <c r="J8" s="17">
        <f>IF('جدول ورود اطلاعات پرسنل'!L8&gt;=31,22000000,22000000 / 31*'جدول ورود اطلاعات پرسنل'!L8)</f>
        <v>22000000</v>
      </c>
      <c r="K8" s="17">
        <f>IF('جدول ورود اطلاعات پرسنل'!L8&gt;=31,30000000,(30000000 / 31)*'جدول ورود اطلاعات پرسنل'!L8)</f>
        <v>30000000</v>
      </c>
      <c r="L8" s="17">
        <f>IF('جدول ورود اطلاعات پرسنل'!I8=1,5000000 / 31*'جدول ورود اطلاعات پرسنل'!L8,0)</f>
        <v>5000000</v>
      </c>
      <c r="M8" s="17">
        <f>('جدول ورود اطلاعات پرسنل'!S8/31)*'جدول ورود اطلاعات پرسنل'!L8</f>
        <v>0</v>
      </c>
      <c r="N8" s="17">
        <f>('جدول ورود اطلاعات پرسنل'!T8/31)*'جدول ورود اطلاعات پرسنل'!L8</f>
        <v>0</v>
      </c>
      <c r="O8" s="17">
        <f>D8*'جدول ورود اطلاعات پرسنل'!L8</f>
        <v>249846019</v>
      </c>
      <c r="P8" s="56">
        <f t="shared" si="1"/>
        <v>316237996</v>
      </c>
      <c r="Q8" s="18">
        <f t="shared" si="2"/>
        <v>310726886.27999997</v>
      </c>
      <c r="R8" s="57">
        <f t="shared" si="3"/>
        <v>332863546</v>
      </c>
      <c r="S8" s="17">
        <f t="shared" si="4"/>
        <v>22136659.720000003</v>
      </c>
      <c r="T8" s="17">
        <f t="shared" si="5"/>
        <v>0</v>
      </c>
      <c r="U8" s="17">
        <f>'جدول ورود اطلاعات پرسنل'!U8</f>
        <v>0</v>
      </c>
      <c r="V8" s="67">
        <v>0</v>
      </c>
      <c r="W8" s="56">
        <f t="shared" si="0"/>
        <v>310726886.27999997</v>
      </c>
    </row>
    <row r="9" spans="1:23" ht="76.5" customHeight="1" x14ac:dyDescent="0.2">
      <c r="A9" s="36">
        <f>'جدول ورود اطلاعات پرسنل'!A9</f>
        <v>5</v>
      </c>
      <c r="B9" s="39" t="str">
        <f>'جدول ورود اطلاعات پرسنل'!B9</f>
        <v>نام 5</v>
      </c>
      <c r="C9" s="39" t="str">
        <f>'جدول ورود اطلاعات پرسنل'!C9</f>
        <v>نام خانوادگی 6</v>
      </c>
      <c r="D9" s="17">
        <f>IF('جدول ورود اطلاعات پرسنل'!N9&gt;365,('جدول ورود اطلاعات پرسنل'!M9+166667)*1.45+519549,'جدول ورود اطلاعات پرسنل'!M9*1.45+519549)</f>
        <v>8059549</v>
      </c>
      <c r="E9" s="53">
        <f>D9*'جدول ورود اطلاعات پرسنل'!L9</f>
        <v>249846019</v>
      </c>
      <c r="F9" s="17">
        <f>((16625550*'جدول ورود اطلاعات پرسنل'!J9) / 31*'جدول ورود اطلاعات پرسنل'!L9)</f>
        <v>0</v>
      </c>
      <c r="G9" s="17">
        <f>IF('جدول ورود اطلاعات پرسنل'!N9&gt;=365,('جدول ورود اطلاعات پرسنل'!O9*1.45+166667)*'جدول ورود اطلاعات پرسنل'!L9,0)</f>
        <v>0</v>
      </c>
      <c r="H9" s="17">
        <f>((((E9+G9) / 220)*1.4)*'جدول ورود اطلاعات پرسنل'!P9+(((E9+G9) / 13200)*1.4)*'جدول ورود اطلاعات پرسنل'!Q9)</f>
        <v>0</v>
      </c>
      <c r="I9" s="17">
        <f>IF('جدول ورود اطلاعات پرسنل'!R9&gt;0,(((E9/31)+(G9/31))*30) / 220*'جدول ورود اطلاعات پرسنل'!R9,0)</f>
        <v>0</v>
      </c>
      <c r="J9" s="17">
        <f>IF('جدول ورود اطلاعات پرسنل'!L9&gt;=31,22000000,22000000 / 31*'جدول ورود اطلاعات پرسنل'!L9)</f>
        <v>22000000</v>
      </c>
      <c r="K9" s="17">
        <f>IF('جدول ورود اطلاعات پرسنل'!L9&gt;=31,30000000,(30000000 / 31)*'جدول ورود اطلاعات پرسنل'!L9)</f>
        <v>30000000</v>
      </c>
      <c r="L9" s="17">
        <f>IF('جدول ورود اطلاعات پرسنل'!I9=1,5000000 / 31*'جدول ورود اطلاعات پرسنل'!L9,0)</f>
        <v>0</v>
      </c>
      <c r="M9" s="17">
        <f>('جدول ورود اطلاعات پرسنل'!S9/31)*'جدول ورود اطلاعات پرسنل'!L9</f>
        <v>0</v>
      </c>
      <c r="N9" s="17">
        <f>('جدول ورود اطلاعات پرسنل'!T9/31)*'جدول ورود اطلاعات پرسنل'!L9</f>
        <v>0</v>
      </c>
      <c r="O9" s="17">
        <f>D9*'جدول ورود اطلاعات پرسنل'!L9</f>
        <v>249846019</v>
      </c>
      <c r="P9" s="56">
        <f t="shared" si="1"/>
        <v>301846019</v>
      </c>
      <c r="Q9" s="18">
        <f t="shared" si="2"/>
        <v>280716797.67000002</v>
      </c>
      <c r="R9" s="57">
        <f t="shared" si="3"/>
        <v>301846019</v>
      </c>
      <c r="S9" s="17">
        <f t="shared" si="4"/>
        <v>21129221.330000002</v>
      </c>
      <c r="T9" s="17">
        <f t="shared" si="5"/>
        <v>0</v>
      </c>
      <c r="U9" s="17">
        <f>'جدول ورود اطلاعات پرسنل'!U9</f>
        <v>0</v>
      </c>
      <c r="V9" s="67">
        <v>0</v>
      </c>
      <c r="W9" s="56">
        <f t="shared" si="0"/>
        <v>280716797.67000002</v>
      </c>
    </row>
    <row r="10" spans="1:23" ht="76.5" customHeight="1" x14ac:dyDescent="0.2">
      <c r="A10" s="36">
        <f>'جدول ورود اطلاعات پرسنل'!A10</f>
        <v>6</v>
      </c>
      <c r="B10" s="36" t="str">
        <f>'جدول ورود اطلاعات پرسنل'!B10</f>
        <v>نام 6</v>
      </c>
      <c r="C10" s="36" t="str">
        <f>'جدول ورود اطلاعات پرسنل'!C10</f>
        <v>نام خانوادگی 7</v>
      </c>
      <c r="D10" s="17">
        <f>IF('جدول ورود اطلاعات پرسنل'!N10&gt;365,('جدول ورود اطلاعات پرسنل'!M10+166667)*1.45+519549,'جدول ورود اطلاعات پرسنل'!M10*1.45+519549)</f>
        <v>8204549</v>
      </c>
      <c r="E10" s="53">
        <f>D10*'جدول ورود اطلاعات پرسنل'!L10</f>
        <v>254341019</v>
      </c>
      <c r="F10" s="17">
        <f>((16625550*'جدول ورود اطلاعات پرسنل'!J10) / 31*'جدول ورود اطلاعات پرسنل'!L10)</f>
        <v>0</v>
      </c>
      <c r="G10" s="17">
        <f>IF('جدول ورود اطلاعات پرسنل'!N10&gt;=365,('جدول ورود اطلاعات پرسنل'!O10*1.45+166667)*'جدول ورود اطلاعات پرسنل'!L10,0)</f>
        <v>0</v>
      </c>
      <c r="H10" s="17">
        <f>((((E10+G10) / 220)*1.4)*'جدول ورود اطلاعات پرسنل'!P10+(((E10+G10) / 13200)*1.4)*'جدول ورود اطلاعات پرسنل'!Q10)</f>
        <v>0</v>
      </c>
      <c r="I10" s="17">
        <f>IF('جدول ورود اطلاعات پرسنل'!R10&gt;0,(((E10/31)+(G10/31))*30) / 220*'جدول ورود اطلاعات پرسنل'!R10,0)</f>
        <v>0</v>
      </c>
      <c r="J10" s="17">
        <f>IF('جدول ورود اطلاعات پرسنل'!L10&gt;=31,22000000,22000000 / 31*'جدول ورود اطلاعات پرسنل'!L10)</f>
        <v>22000000</v>
      </c>
      <c r="K10" s="17">
        <f>IF('جدول ورود اطلاعات پرسنل'!L10&gt;=31,30000000,(30000000 / 31)*'جدول ورود اطلاعات پرسنل'!L10)</f>
        <v>30000000</v>
      </c>
      <c r="L10" s="17">
        <f>IF('جدول ورود اطلاعات پرسنل'!I10=1,5000000 / 31*'جدول ورود اطلاعات پرسنل'!L10,0)</f>
        <v>0</v>
      </c>
      <c r="M10" s="17">
        <f>('جدول ورود اطلاعات پرسنل'!S10/31)*'جدول ورود اطلاعات پرسنل'!L10</f>
        <v>0</v>
      </c>
      <c r="N10" s="17">
        <f>('جدول ورود اطلاعات پرسنل'!T10/31)*'جدول ورود اطلاعات پرسنل'!L10</f>
        <v>0</v>
      </c>
      <c r="O10" s="17">
        <f>D10*'جدول ورود اطلاعات پرسنل'!L10</f>
        <v>254341019</v>
      </c>
      <c r="P10" s="56">
        <f t="shared" si="1"/>
        <v>306341019</v>
      </c>
      <c r="Q10" s="18">
        <f t="shared" si="2"/>
        <v>284897147.67000002</v>
      </c>
      <c r="R10" s="57">
        <f t="shared" si="3"/>
        <v>306341019</v>
      </c>
      <c r="S10" s="17">
        <f t="shared" si="4"/>
        <v>21443871.330000002</v>
      </c>
      <c r="T10" s="17">
        <f t="shared" si="5"/>
        <v>0</v>
      </c>
      <c r="U10" s="17">
        <f>'جدول ورود اطلاعات پرسنل'!U10</f>
        <v>0</v>
      </c>
      <c r="V10" s="67">
        <v>0</v>
      </c>
      <c r="W10" s="56">
        <f t="shared" si="0"/>
        <v>284897147.67000002</v>
      </c>
    </row>
    <row r="11" spans="1:23" ht="76.5" customHeight="1" x14ac:dyDescent="0.2">
      <c r="A11" s="36">
        <f>'جدول ورود اطلاعات پرسنل'!A11</f>
        <v>7</v>
      </c>
      <c r="B11" s="39" t="str">
        <f>'جدول ورود اطلاعات پرسنل'!B11</f>
        <v>نام 7</v>
      </c>
      <c r="C11" s="39" t="str">
        <f>'جدول ورود اطلاعات پرسنل'!C11</f>
        <v>نام خانوادگی 8</v>
      </c>
      <c r="D11" s="17">
        <f>IF('جدول ورود اطلاعات پرسنل'!N11&gt;365,('جدول ورود اطلاعات پرسنل'!M11+166667)*1.45+519549,'جدول ورود اطلاعات پرسنل'!M11*1.45+519549)</f>
        <v>13521235</v>
      </c>
      <c r="E11" s="53">
        <f>D11*'جدول ورود اطلاعات پرسنل'!L11</f>
        <v>419158285</v>
      </c>
      <c r="F11" s="17">
        <f>((16625550*'جدول ورود اطلاعات پرسنل'!J11) / 31*'جدول ورود اطلاعات پرسنل'!L11)</f>
        <v>33251100.000000004</v>
      </c>
      <c r="G11" s="17">
        <f>IF('جدول ورود اطلاعات پرسنل'!N11&gt;=365,('جدول ورود اطلاعات پرسنل'!O11*1.45+166667)*'جدول ورود اطلاعات پرسنل'!L11,0)</f>
        <v>0</v>
      </c>
      <c r="H11" s="17">
        <f>((((E11+G11) / 220)*1.4)*'جدول ورود اطلاعات پرسنل'!P11+(((E11+G11) / 13200)*1.4)*'جدول ورود اطلاعات پرسنل'!Q11)</f>
        <v>0</v>
      </c>
      <c r="I11" s="17">
        <f>IF('جدول ورود اطلاعات پرسنل'!R11&gt;0,(((E11/31)+(G11/31))*30) / 220*'جدول ورود اطلاعات پرسنل'!R11,0)</f>
        <v>0</v>
      </c>
      <c r="J11" s="17">
        <f>IF('جدول ورود اطلاعات پرسنل'!L11&gt;=31,22000000,22000000 / 31*'جدول ورود اطلاعات پرسنل'!L11)</f>
        <v>22000000</v>
      </c>
      <c r="K11" s="17">
        <f>IF('جدول ورود اطلاعات پرسنل'!L11&gt;=31,30000000,(30000000 / 31)*'جدول ورود اطلاعات پرسنل'!L11)</f>
        <v>30000000</v>
      </c>
      <c r="L11" s="17">
        <f>IF('جدول ورود اطلاعات پرسنل'!I11=1,5000000 / 31*'جدول ورود اطلاعات پرسنل'!L11,0)</f>
        <v>5000000</v>
      </c>
      <c r="M11" s="17">
        <f>('جدول ورود اطلاعات پرسنل'!S11/31)*'جدول ورود اطلاعات پرسنل'!L11</f>
        <v>0</v>
      </c>
      <c r="N11" s="17">
        <f>('جدول ورود اطلاعات پرسنل'!T11/31)*'جدول ورود اطلاعات پرسنل'!L11</f>
        <v>0</v>
      </c>
      <c r="O11" s="17">
        <f>D11*'جدول ورود اطلاعات پرسنل'!L11</f>
        <v>419158285</v>
      </c>
      <c r="P11" s="56">
        <f t="shared" si="1"/>
        <v>476158285</v>
      </c>
      <c r="Q11" s="18">
        <f t="shared" si="2"/>
        <v>476078305.05000001</v>
      </c>
      <c r="R11" s="57">
        <f t="shared" si="3"/>
        <v>509409385</v>
      </c>
      <c r="S11" s="17">
        <f t="shared" si="4"/>
        <v>33331079.950000003</v>
      </c>
      <c r="T11" s="17">
        <f t="shared" si="5"/>
        <v>7607830.5050000018</v>
      </c>
      <c r="U11" s="17">
        <f>'جدول ورود اطلاعات پرسنل'!U11</f>
        <v>0</v>
      </c>
      <c r="V11" s="67">
        <v>0</v>
      </c>
      <c r="W11" s="56">
        <f t="shared" si="0"/>
        <v>468470474.54500002</v>
      </c>
    </row>
    <row r="12" spans="1:23" ht="76.5" customHeight="1" x14ac:dyDescent="0.2">
      <c r="A12" s="36">
        <f>'جدول ورود اطلاعات پرسنل'!A12</f>
        <v>8</v>
      </c>
      <c r="B12" s="39" t="str">
        <f>'جدول ورود اطلاعات پرسنل'!B12</f>
        <v>نام 8</v>
      </c>
      <c r="C12" s="39" t="str">
        <f>'جدول ورود اطلاعات پرسنل'!C12</f>
        <v>نام خانوادگی 9</v>
      </c>
      <c r="D12" s="17">
        <f>IF('جدول ورود اطلاعات پرسنل'!N12&gt;365,('جدول ورود اطلاعات پرسنل'!M12+166667)*1.45+519549,'جدول ورود اطلاعات پرسنل'!M12*1.45+519549)</f>
        <v>5541850.2000000002</v>
      </c>
      <c r="E12" s="53">
        <f>D12*'جدول ورود اطلاعات پرسنل'!L12</f>
        <v>171797356.20000002</v>
      </c>
      <c r="F12" s="17">
        <f>((16625550*'جدول ورود اطلاعات پرسنل'!J12) / 31*'جدول ورود اطلاعات پرسنل'!L12)</f>
        <v>0</v>
      </c>
      <c r="G12" s="17">
        <f>IF('جدول ورود اطلاعات پرسنل'!N12&gt;=365,('جدول ورود اطلاعات پرسنل'!O12*1.45+166667)*'جدول ورود اطلاعات پرسنل'!L12,0)</f>
        <v>0</v>
      </c>
      <c r="H12" s="17">
        <f>((((E12+G12) / 220)*1.4)*'جدول ورود اطلاعات پرسنل'!P12+(((E12+G12) / 13200)*1.4)*'جدول ورود اطلاعات پرسنل'!Q12)</f>
        <v>0</v>
      </c>
      <c r="I12" s="17">
        <f>IF('جدول ورود اطلاعات پرسنل'!R12&gt;0,(((E12/31)+(G12/31))*30) / 220*'جدول ورود اطلاعات پرسنل'!R12,0)</f>
        <v>0</v>
      </c>
      <c r="J12" s="17">
        <f>IF('جدول ورود اطلاعات پرسنل'!L12&gt;=31,22000000,22000000 / 31*'جدول ورود اطلاعات پرسنل'!L12)</f>
        <v>22000000</v>
      </c>
      <c r="K12" s="17">
        <f>IF('جدول ورود اطلاعات پرسنل'!L12&gt;=31,30000000,(30000000 / 31)*'جدول ورود اطلاعات پرسنل'!L12)</f>
        <v>30000000</v>
      </c>
      <c r="L12" s="17">
        <f>IF('جدول ورود اطلاعات پرسنل'!I12=1,5000000 / 31*'جدول ورود اطلاعات پرسنل'!L12,0)</f>
        <v>0</v>
      </c>
      <c r="M12" s="17">
        <f>('جدول ورود اطلاعات پرسنل'!S12/31)*'جدول ورود اطلاعات پرسنل'!L12</f>
        <v>0</v>
      </c>
      <c r="N12" s="17">
        <f>('جدول ورود اطلاعات پرسنل'!T12/31)*'جدول ورود اطلاعات پرسنل'!L12</f>
        <v>0</v>
      </c>
      <c r="O12" s="17">
        <f>D12*'جدول ورود اطلاعات پرسنل'!L12</f>
        <v>171797356.20000002</v>
      </c>
      <c r="P12" s="56">
        <f t="shared" si="1"/>
        <v>223797356.20000002</v>
      </c>
      <c r="Q12" s="18">
        <f t="shared" si="2"/>
        <v>208131541.266</v>
      </c>
      <c r="R12" s="57">
        <f t="shared" si="3"/>
        <v>223797356.20000002</v>
      </c>
      <c r="S12" s="17">
        <f t="shared" si="4"/>
        <v>15665814.934000002</v>
      </c>
      <c r="T12" s="17">
        <f t="shared" si="5"/>
        <v>0</v>
      </c>
      <c r="U12" s="17">
        <f>'جدول ورود اطلاعات پرسنل'!U12</f>
        <v>0</v>
      </c>
      <c r="V12" s="67">
        <v>0</v>
      </c>
      <c r="W12" s="56">
        <f t="shared" si="0"/>
        <v>208131541.266</v>
      </c>
    </row>
    <row r="13" spans="1:23" ht="76.5" customHeight="1" x14ac:dyDescent="0.2">
      <c r="A13" s="36">
        <f>'جدول ورود اطلاعات پرسنل'!A13</f>
        <v>9</v>
      </c>
      <c r="B13" s="39" t="str">
        <f>'جدول ورود اطلاعات پرسنل'!B13</f>
        <v>نام 9</v>
      </c>
      <c r="C13" s="39" t="str">
        <f>'جدول ورود اطلاعات پرسنل'!C13</f>
        <v>نام خانوادگی 10</v>
      </c>
      <c r="D13" s="17">
        <f>IF('جدول ورود اطلاعات پرسنل'!N13&gt;365,('جدول ورود اطلاعات پرسنل'!M13+166667)*1.45+519549,'جدول ورود اطلاعات پرسنل'!M13*1.45+519549)</f>
        <v>5541850.2000000002</v>
      </c>
      <c r="E13" s="53">
        <f>D13*'جدول ورود اطلاعات پرسنل'!L13</f>
        <v>171797356.20000002</v>
      </c>
      <c r="F13" s="17">
        <f>((16625550*'جدول ورود اطلاعات پرسنل'!J13) / 31*'جدول ورود اطلاعات پرسنل'!L13)</f>
        <v>0</v>
      </c>
      <c r="G13" s="17">
        <f>IF('جدول ورود اطلاعات پرسنل'!N13&gt;=365,('جدول ورود اطلاعات پرسنل'!O13*1.45+166667)*'جدول ورود اطلاعات پرسنل'!L13,0)</f>
        <v>0</v>
      </c>
      <c r="H13" s="17">
        <f>((((E13+G13) / 220)*1.4)*'جدول ورود اطلاعات پرسنل'!P13+(((E13+G13) / 13200)*1.4)*'جدول ورود اطلاعات پرسنل'!Q13)</f>
        <v>0</v>
      </c>
      <c r="I13" s="17">
        <f>IF('جدول ورود اطلاعات پرسنل'!R13&gt;0,(((E13/31)+(G13/31))*30) / 220*'جدول ورود اطلاعات پرسنل'!R13,0)</f>
        <v>0</v>
      </c>
      <c r="J13" s="17">
        <f>IF('جدول ورود اطلاعات پرسنل'!L13&gt;=31,22000000,22000000 / 31*'جدول ورود اطلاعات پرسنل'!L13)</f>
        <v>22000000</v>
      </c>
      <c r="K13" s="17">
        <f>IF('جدول ورود اطلاعات پرسنل'!L13&gt;=31,30000000,(30000000 / 31)*'جدول ورود اطلاعات پرسنل'!L13)</f>
        <v>30000000</v>
      </c>
      <c r="L13" s="17">
        <f>IF('جدول ورود اطلاعات پرسنل'!I13=1,5000000 / 31*'جدول ورود اطلاعات پرسنل'!L13,0)</f>
        <v>0</v>
      </c>
      <c r="M13" s="17">
        <f>('جدول ورود اطلاعات پرسنل'!S13/31)*'جدول ورود اطلاعات پرسنل'!L13</f>
        <v>0</v>
      </c>
      <c r="N13" s="17">
        <f>('جدول ورود اطلاعات پرسنل'!T13/31)*'جدول ورود اطلاعات پرسنل'!L13</f>
        <v>0</v>
      </c>
      <c r="O13" s="17">
        <f>D13*'جدول ورود اطلاعات پرسنل'!L13</f>
        <v>171797356.20000002</v>
      </c>
      <c r="P13" s="56">
        <f t="shared" si="1"/>
        <v>223797356.20000002</v>
      </c>
      <c r="Q13" s="18">
        <f t="shared" si="2"/>
        <v>208131541.266</v>
      </c>
      <c r="R13" s="57">
        <f t="shared" si="3"/>
        <v>223797356.20000002</v>
      </c>
      <c r="S13" s="17">
        <f t="shared" si="4"/>
        <v>15665814.934000002</v>
      </c>
      <c r="T13" s="17">
        <f t="shared" si="5"/>
        <v>0</v>
      </c>
      <c r="U13" s="17">
        <f>'جدول ورود اطلاعات پرسنل'!U13</f>
        <v>0</v>
      </c>
      <c r="V13" s="67">
        <v>0</v>
      </c>
      <c r="W13" s="56">
        <f t="shared" si="0"/>
        <v>208131541.266</v>
      </c>
    </row>
    <row r="14" spans="1:23" ht="76.5" customHeight="1" x14ac:dyDescent="0.2">
      <c r="A14" s="36">
        <f>'جدول ورود اطلاعات پرسنل'!A14</f>
        <v>10</v>
      </c>
      <c r="B14" s="39" t="str">
        <f>'جدول ورود اطلاعات پرسنل'!B14</f>
        <v>نام 10</v>
      </c>
      <c r="C14" s="39" t="str">
        <f>'جدول ورود اطلاعات پرسنل'!C14</f>
        <v>نام خانوادگی 11</v>
      </c>
      <c r="D14" s="17">
        <f>IF('جدول ورود اطلاعات پرسنل'!N14&gt;365,('جدول ورود اطلاعات پرسنل'!M14+166667)*1.45+519549,'جدول ورود اطلاعات پرسنل'!M14*1.45+519549)</f>
        <v>5541850.2000000002</v>
      </c>
      <c r="E14" s="53">
        <f>D14*'جدول ورود اطلاعات پرسنل'!L14</f>
        <v>171797356.20000002</v>
      </c>
      <c r="F14" s="17">
        <f>((16625550*'جدول ورود اطلاعات پرسنل'!J14) / 31*'جدول ورود اطلاعات پرسنل'!L14)</f>
        <v>0</v>
      </c>
      <c r="G14" s="17">
        <f>IF('جدول ورود اطلاعات پرسنل'!N14&gt;=365,('جدول ورود اطلاعات پرسنل'!O14*1.45+166667)*'جدول ورود اطلاعات پرسنل'!L14,0)</f>
        <v>0</v>
      </c>
      <c r="H14" s="17">
        <f>((((E14+G14) / 220)*1.4)*'جدول ورود اطلاعات پرسنل'!P14+(((E14+G14) / 13200)*1.4)*'جدول ورود اطلاعات پرسنل'!Q14)</f>
        <v>0</v>
      </c>
      <c r="I14" s="17">
        <f>IF('جدول ورود اطلاعات پرسنل'!R14&gt;0,(((E14/31)+(G14/31))*30) / 220*'جدول ورود اطلاعات پرسنل'!R14,0)</f>
        <v>0</v>
      </c>
      <c r="J14" s="17">
        <f>IF('جدول ورود اطلاعات پرسنل'!L14&gt;=31,22000000,22000000 / 31*'جدول ورود اطلاعات پرسنل'!L14)</f>
        <v>22000000</v>
      </c>
      <c r="K14" s="17">
        <f>IF('جدول ورود اطلاعات پرسنل'!L14&gt;=31,30000000,(30000000 / 31)*'جدول ورود اطلاعات پرسنل'!L14)</f>
        <v>30000000</v>
      </c>
      <c r="L14" s="17">
        <f>IF('جدول ورود اطلاعات پرسنل'!I14=1,5000000 / 31*'جدول ورود اطلاعات پرسنل'!L14,0)</f>
        <v>0</v>
      </c>
      <c r="M14" s="17">
        <f>('جدول ورود اطلاعات پرسنل'!S14/31)*'جدول ورود اطلاعات پرسنل'!L14</f>
        <v>0</v>
      </c>
      <c r="N14" s="17">
        <f>('جدول ورود اطلاعات پرسنل'!T14/31)*'جدول ورود اطلاعات پرسنل'!L14</f>
        <v>0</v>
      </c>
      <c r="O14" s="17">
        <f>D14*'جدول ورود اطلاعات پرسنل'!L14</f>
        <v>171797356.20000002</v>
      </c>
      <c r="P14" s="56">
        <f t="shared" si="1"/>
        <v>223797356.20000002</v>
      </c>
      <c r="Q14" s="18">
        <f t="shared" si="2"/>
        <v>208131541.266</v>
      </c>
      <c r="R14" s="57">
        <f t="shared" si="3"/>
        <v>223797356.20000002</v>
      </c>
      <c r="S14" s="17">
        <f t="shared" si="4"/>
        <v>15665814.934000002</v>
      </c>
      <c r="T14" s="17">
        <f t="shared" si="5"/>
        <v>0</v>
      </c>
      <c r="U14" s="17">
        <f>'جدول ورود اطلاعات پرسنل'!U14</f>
        <v>0</v>
      </c>
      <c r="V14" s="67">
        <v>0</v>
      </c>
      <c r="W14" s="56">
        <f t="shared" si="0"/>
        <v>208131541.266</v>
      </c>
    </row>
    <row r="15" spans="1:23" ht="76.5" customHeight="1" thickBot="1" x14ac:dyDescent="0.25">
      <c r="A15" s="75" t="s">
        <v>45</v>
      </c>
      <c r="B15" s="76"/>
      <c r="C15" s="76"/>
      <c r="D15" s="55">
        <f>SUM(D5:D14)</f>
        <v>74097016.300000012</v>
      </c>
      <c r="E15" s="55">
        <f t="shared" ref="E15:W15" si="6">SUM(E5:E14)</f>
        <v>2297007505.3000002</v>
      </c>
      <c r="F15" s="55">
        <f t="shared" si="6"/>
        <v>99753300.000000015</v>
      </c>
      <c r="G15" s="55">
        <f t="shared" si="6"/>
        <v>41721288</v>
      </c>
      <c r="H15" s="55">
        <f t="shared" si="6"/>
        <v>19020483.492022727</v>
      </c>
      <c r="I15" s="55">
        <f t="shared" si="6"/>
        <v>6785961.1090909094</v>
      </c>
      <c r="J15" s="55">
        <f t="shared" si="6"/>
        <v>220000000</v>
      </c>
      <c r="K15" s="55">
        <f t="shared" si="6"/>
        <v>300000000</v>
      </c>
      <c r="L15" s="55">
        <f t="shared" si="6"/>
        <v>20000000</v>
      </c>
      <c r="M15" s="55">
        <f t="shared" si="6"/>
        <v>0</v>
      </c>
      <c r="N15" s="55">
        <f t="shared" si="6"/>
        <v>0</v>
      </c>
      <c r="O15" s="55">
        <f t="shared" si="6"/>
        <v>2297007505.3000002</v>
      </c>
      <c r="P15" s="55">
        <f t="shared" si="6"/>
        <v>2897749276.7920222</v>
      </c>
      <c r="Q15" s="55">
        <f t="shared" si="6"/>
        <v>2794660127.4165807</v>
      </c>
      <c r="R15" s="55">
        <f t="shared" si="6"/>
        <v>3004288537.901113</v>
      </c>
      <c r="S15" s="55">
        <f t="shared" si="6"/>
        <v>202842449.37544164</v>
      </c>
      <c r="T15" s="55">
        <f t="shared" si="6"/>
        <v>7607830.5050000018</v>
      </c>
      <c r="U15" s="55">
        <f t="shared" si="6"/>
        <v>0</v>
      </c>
      <c r="V15" s="55">
        <f t="shared" si="6"/>
        <v>0</v>
      </c>
      <c r="W15" s="55">
        <f t="shared" si="6"/>
        <v>2793838258.0206714</v>
      </c>
    </row>
    <row r="16" spans="1:23" ht="82.5" hidden="1" customHeight="1" x14ac:dyDescent="0.2">
      <c r="A16" s="16">
        <f>COLUMN()</f>
        <v>1</v>
      </c>
      <c r="B16" s="16">
        <f>COLUMN()</f>
        <v>2</v>
      </c>
      <c r="C16" s="16">
        <f>COLUMN()</f>
        <v>3</v>
      </c>
      <c r="D16" s="41">
        <f>IF('جدول ورود اطلاعات پرسنل'!N17&gt;365,('جدول ورود اطلاعات پرسنل'!M16+94000)*1.32+310535,'جدول ورود اطلاعات پرسنل'!M16*1.32+310535)</f>
        <v>310552.15999999997</v>
      </c>
      <c r="E16" s="16">
        <f>COLUMN()</f>
        <v>5</v>
      </c>
      <c r="F16" s="42">
        <f>((10390968*'جدول ورود اطلاعات پرسنل'!J16) / 31*'جدول ورود اطلاعات پرسنل'!L16)</f>
        <v>40223101.935483873</v>
      </c>
      <c r="G16" s="41">
        <f>IF('جدول ورود اطلاعات پرسنل'!N16&gt;=365,(2820000 / 31)*'جدول ورود اطلاعات پرسنل'!L16,0)</f>
        <v>0</v>
      </c>
      <c r="H16" s="22">
        <f>COLUMN()</f>
        <v>8</v>
      </c>
      <c r="I16" s="22">
        <f>COLUMN()</f>
        <v>9</v>
      </c>
      <c r="J16" s="41">
        <f>IF('جدول ورود اطلاعات پرسنل'!L16&gt;=31,22000000,22000000 / 31*'جدول ورود اطلاعات پرسنل'!L16)</f>
        <v>8516129.0322580636</v>
      </c>
      <c r="K16" s="41">
        <f>IF('جدول ورود اطلاعات پرسنل'!L16&gt;=31,9000000,(9000000.31)*'جدول ورود اطلاعات پرسنل'!L16)</f>
        <v>108000003.72</v>
      </c>
      <c r="L16" s="41">
        <f>IF('جدول ورود اطلاعات پرسنل'!I16=1,5000000 / 31*'جدول ورود اطلاعات پرسنل'!L16,0)</f>
        <v>0</v>
      </c>
      <c r="M16" s="16">
        <f>COLUMN()</f>
        <v>13</v>
      </c>
      <c r="N16" s="16">
        <f>COLUMN()</f>
        <v>14</v>
      </c>
      <c r="O16" s="16">
        <f>COLUMN()</f>
        <v>15</v>
      </c>
      <c r="P16" s="16">
        <f>COLUMN()</f>
        <v>16</v>
      </c>
      <c r="Q16" s="43">
        <f t="shared" ref="Q16" si="7">(F16+G16+H16+O16+L16+M16+N16)-S16</f>
        <v>40223132.935483873</v>
      </c>
      <c r="R16" s="16">
        <f>COLUMN()</f>
        <v>18</v>
      </c>
      <c r="S16" s="16">
        <f>COLUMN()</f>
        <v>19</v>
      </c>
      <c r="T16" s="41">
        <f t="shared" ref="T16" si="8">IF(Q16&lt;=240000000,0,+IF(Q16&lt;=300000000,(Q16-240000000)*10%,+IF(Q16&lt;=380000000,6000000+(Q16-240000000)*15%,+IF(Q16&lt;=500000000,24000000+(Q16-380000000)*20%,+IF(Q16&gt;500000000,78000000+(Q16-380000000)*30%)))))</f>
        <v>0</v>
      </c>
      <c r="U16" s="16">
        <f>COLUMN()</f>
        <v>21</v>
      </c>
      <c r="V16" s="16">
        <f>COLUMN()</f>
        <v>22</v>
      </c>
    </row>
    <row r="17" spans="1:23" ht="26.25" x14ac:dyDescent="0.2">
      <c r="A17" s="23"/>
      <c r="C17" s="24"/>
      <c r="D17" s="65"/>
      <c r="E17" s="65"/>
      <c r="F17" s="25"/>
      <c r="G17" s="25"/>
      <c r="H17" s="112" t="s">
        <v>4</v>
      </c>
      <c r="I17" s="112"/>
      <c r="J17" s="112"/>
      <c r="K17" s="112"/>
      <c r="L17" s="112"/>
      <c r="M17" s="112"/>
      <c r="N17" s="112"/>
      <c r="O17" s="66">
        <f>S15</f>
        <v>202842449.37544164</v>
      </c>
      <c r="P17" s="111" t="s">
        <v>5</v>
      </c>
      <c r="Q17" s="111"/>
      <c r="R17" s="64"/>
      <c r="S17" s="26">
        <f>P15*20%</f>
        <v>579549855.35840452</v>
      </c>
      <c r="T17" s="66"/>
      <c r="U17" s="120" t="s">
        <v>56</v>
      </c>
      <c r="V17" s="120"/>
      <c r="W17" s="120"/>
    </row>
    <row r="18" spans="1:23" ht="26.25" x14ac:dyDescent="0.2">
      <c r="A18" s="37"/>
      <c r="P18" s="111" t="s">
        <v>19</v>
      </c>
      <c r="Q18" s="111"/>
      <c r="S18" s="26">
        <f>(P15*0.03)</f>
        <v>86932478.303760663</v>
      </c>
      <c r="T18" s="66"/>
      <c r="U18" s="26">
        <f>S17+S18+O17</f>
        <v>869324783.03760684</v>
      </c>
      <c r="V18" s="26"/>
    </row>
    <row r="19" spans="1:23" hidden="1" x14ac:dyDescent="0.2">
      <c r="A19" s="37"/>
    </row>
    <row r="20" spans="1:23" hidden="1" x14ac:dyDescent="0.2"/>
    <row r="21" spans="1:23" hidden="1" x14ac:dyDescent="0.2"/>
    <row r="22" spans="1:23" ht="21" x14ac:dyDescent="0.2">
      <c r="C22" s="27" t="s">
        <v>17</v>
      </c>
      <c r="F22" s="24" t="s">
        <v>18</v>
      </c>
      <c r="K22" s="24" t="s">
        <v>3</v>
      </c>
      <c r="L22" s="24"/>
      <c r="M22" s="27"/>
      <c r="N22" s="27"/>
    </row>
    <row r="24" spans="1:23" x14ac:dyDescent="0.2">
      <c r="Q24" s="22"/>
      <c r="R24" s="22"/>
      <c r="S24" s="22"/>
    </row>
    <row r="25" spans="1:23" x14ac:dyDescent="0.2">
      <c r="Q25" s="22"/>
      <c r="R25" s="22"/>
    </row>
  </sheetData>
  <sheetProtection algorithmName="SHA-512" hashValue="OsT32EnjE9x5Aw/IrWGjfuOvDWaRkXtFvCmDBqWqFjQGY8JyMAWYrtKc3rrK3quBJ6CDkUDO/aEJKosD3SFT7Q==" saltValue="jATP46eYJ2hl6hZcABR/EQ==" spinCount="100000" sheet="1" objects="1" scenarios="1"/>
  <mergeCells count="34">
    <mergeCell ref="P18:Q18"/>
    <mergeCell ref="H17:N17"/>
    <mergeCell ref="S2:V2"/>
    <mergeCell ref="S3:S4"/>
    <mergeCell ref="T3:T4"/>
    <mergeCell ref="U3:U4"/>
    <mergeCell ref="V3:V4"/>
    <mergeCell ref="U17:W17"/>
    <mergeCell ref="P3:P4"/>
    <mergeCell ref="Q3:Q4"/>
    <mergeCell ref="P17:Q17"/>
    <mergeCell ref="V1:W1"/>
    <mergeCell ref="T1:U1"/>
    <mergeCell ref="A1:S1"/>
    <mergeCell ref="W2:W4"/>
    <mergeCell ref="I3:I4"/>
    <mergeCell ref="G3:G4"/>
    <mergeCell ref="A3:A4"/>
    <mergeCell ref="E3:E4"/>
    <mergeCell ref="M3:M4"/>
    <mergeCell ref="N3:N4"/>
    <mergeCell ref="B3:B4"/>
    <mergeCell ref="C3:C4"/>
    <mergeCell ref="A15:C15"/>
    <mergeCell ref="A2:E2"/>
    <mergeCell ref="D3:D4"/>
    <mergeCell ref="J3:J4"/>
    <mergeCell ref="F3:F4"/>
    <mergeCell ref="F2:R2"/>
    <mergeCell ref="R3:R4"/>
    <mergeCell ref="H3:H4"/>
    <mergeCell ref="K3:K4"/>
    <mergeCell ref="O3:O4"/>
    <mergeCell ref="L3:L4"/>
  </mergeCells>
  <printOptions horizontalCentered="1"/>
  <pageMargins left="0" right="0" top="0.15748031496062992" bottom="0" header="0.15748031496062992" footer="0.15748031496062992"/>
  <pageSetup paperSize="9" scale="37" orientation="landscape" r:id="rId1"/>
  <headerFooter alignWithMargins="0">
    <oddHeader>&amp;L&amp;"B Nazanin,Bold"&amp;12صفحه &amp;P از &amp;N</oddHeader>
    <oddFooter>&amp;R&amp;"B Nazanin,Bold"&amp;12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B1:H26"/>
  <sheetViews>
    <sheetView rightToLeft="1" view="pageBreakPreview" topLeftCell="A10" zoomScaleSheetLayoutView="100" workbookViewId="0">
      <selection activeCell="D20" sqref="D20"/>
    </sheetView>
  </sheetViews>
  <sheetFormatPr defaultColWidth="9.140625" defaultRowHeight="15.75" x14ac:dyDescent="0.2"/>
  <cols>
    <col min="1" max="1" width="9.140625" style="61"/>
    <col min="2" max="2" width="19.140625" style="61" customWidth="1"/>
    <col min="3" max="3" width="5.42578125" style="61" customWidth="1"/>
    <col min="4" max="4" width="14.42578125" style="61" customWidth="1"/>
    <col min="5" max="5" width="15" style="61" customWidth="1"/>
    <col min="6" max="6" width="12.140625" style="61" customWidth="1"/>
    <col min="7" max="7" width="14.28515625" style="61" customWidth="1"/>
    <col min="8" max="8" width="4.28515625" style="61" customWidth="1"/>
    <col min="9" max="16384" width="9.140625" style="61"/>
  </cols>
  <sheetData>
    <row r="1" spans="2:8" ht="24.75" customHeight="1" x14ac:dyDescent="0.2">
      <c r="B1" s="135"/>
      <c r="C1" s="135"/>
      <c r="D1" s="135"/>
      <c r="E1" s="135"/>
      <c r="F1" s="135"/>
      <c r="G1" s="135"/>
      <c r="H1" s="135"/>
    </row>
    <row r="2" spans="2:8" ht="24.75" customHeight="1" thickBot="1" x14ac:dyDescent="0.25">
      <c r="B2" s="145" t="s">
        <v>54</v>
      </c>
      <c r="C2" s="145"/>
      <c r="D2" s="145"/>
      <c r="E2" s="145"/>
      <c r="F2" s="145"/>
      <c r="G2" s="145"/>
      <c r="H2" s="62"/>
    </row>
    <row r="3" spans="2:8" ht="18.75" customHeight="1" x14ac:dyDescent="0.2">
      <c r="B3" s="63" t="s">
        <v>26</v>
      </c>
      <c r="C3" s="149">
        <v>1</v>
      </c>
      <c r="D3" s="149"/>
      <c r="E3" s="59" t="s">
        <v>89</v>
      </c>
      <c r="F3" s="60" t="str">
        <f>VLOOKUP(C3,'جدول ورود اطلاعات پرسنل'!A1:U15,11,0)</f>
        <v>فروردین</v>
      </c>
      <c r="G3" s="9">
        <v>1405</v>
      </c>
    </row>
    <row r="4" spans="2:8" ht="18.75" customHeight="1" x14ac:dyDescent="0.2">
      <c r="B4" s="6" t="s">
        <v>7</v>
      </c>
      <c r="C4" s="129" t="str">
        <f>VLOOKUP(C3,'جدول محاسبه حقوق و دستمزد'!A1:W18,2,0)</f>
        <v>نام 1</v>
      </c>
      <c r="D4" s="129"/>
      <c r="E4" s="58" t="s">
        <v>42</v>
      </c>
      <c r="F4" s="129" t="str">
        <f>VLOOKUP(C3,'جدول ورود اطلاعات پرسنل'!A1:U15,7,0)</f>
        <v>0123456789</v>
      </c>
      <c r="G4" s="130"/>
    </row>
    <row r="5" spans="2:8" ht="18.75" customHeight="1" x14ac:dyDescent="0.2">
      <c r="B5" s="6" t="s">
        <v>8</v>
      </c>
      <c r="C5" s="129" t="str">
        <f>VLOOKUP(C3,'جدول محاسبه حقوق و دستمزد'!A1:W18,3,0)</f>
        <v>نام خانوادگی 2</v>
      </c>
      <c r="D5" s="129"/>
      <c r="E5" s="58" t="s">
        <v>43</v>
      </c>
      <c r="F5" s="129" t="str">
        <f>VLOOKUP(C3,'جدول ورود اطلاعات پرسنل'!A1:U15,8,0)</f>
        <v>9876543210</v>
      </c>
      <c r="G5" s="130"/>
    </row>
    <row r="6" spans="2:8" ht="18.75" customHeight="1" x14ac:dyDescent="0.2">
      <c r="B6" s="6" t="s">
        <v>53</v>
      </c>
      <c r="C6" s="129">
        <f>VLOOKUP(C3,'جدول ورود اطلاعات پرسنل'!A1:U15,12,0)</f>
        <v>31</v>
      </c>
      <c r="D6" s="129"/>
      <c r="E6" s="58" t="s">
        <v>20</v>
      </c>
      <c r="F6" s="129">
        <f>VLOOKUP(C3,'جدول ورود اطلاعات پرسنل'!A1:U15,16,0)</f>
        <v>15</v>
      </c>
      <c r="G6" s="130"/>
    </row>
    <row r="7" spans="2:8" ht="18.75" customHeight="1" thickBot="1" x14ac:dyDescent="0.25">
      <c r="B7" s="7" t="s">
        <v>118</v>
      </c>
      <c r="C7" s="146">
        <f>VLOOKUP(C3,'جدول ورود اطلاعات پرسنل'!A1:U15,18,0)</f>
        <v>8</v>
      </c>
      <c r="D7" s="146"/>
      <c r="E7" s="58" t="s">
        <v>83</v>
      </c>
      <c r="F7" s="146">
        <f>VLOOKUP(C3,'جدول ورود اطلاعات پرسنل'!A1:U15,17,0)</f>
        <v>30</v>
      </c>
      <c r="G7" s="147"/>
    </row>
    <row r="8" spans="2:8" ht="16.5" thickBot="1" x14ac:dyDescent="0.25">
      <c r="B8" s="148"/>
      <c r="C8" s="148"/>
      <c r="D8" s="148"/>
      <c r="E8" s="148"/>
      <c r="F8" s="148"/>
      <c r="G8" s="148"/>
      <c r="H8" s="12"/>
    </row>
    <row r="9" spans="2:8" ht="26.45" customHeight="1" thickBot="1" x14ac:dyDescent="0.25">
      <c r="B9" s="131" t="s">
        <v>95</v>
      </c>
      <c r="C9" s="131"/>
      <c r="D9" s="131"/>
      <c r="E9" s="132" t="s">
        <v>96</v>
      </c>
      <c r="F9" s="132"/>
      <c r="G9" s="132"/>
      <c r="H9" s="12"/>
    </row>
    <row r="10" spans="2:8" ht="21.75" customHeight="1" x14ac:dyDescent="0.2">
      <c r="B10" s="133" t="s">
        <v>48</v>
      </c>
      <c r="C10" s="134"/>
      <c r="D10" s="10">
        <f>VLOOKUP(C3,'جدول محاسبه حقوق و دستمزد'!A1:W18,4,0)</f>
        <v>5783517.3499999996</v>
      </c>
      <c r="E10" s="133" t="s">
        <v>46</v>
      </c>
      <c r="F10" s="134"/>
      <c r="G10" s="10">
        <f>VLOOKUP(C3,'جدول محاسبه حقوق و دستمزد'!A1:W18,19,0)</f>
        <v>18819841.483941592</v>
      </c>
      <c r="H10" s="12"/>
    </row>
    <row r="11" spans="2:8" ht="21.75" customHeight="1" x14ac:dyDescent="0.2">
      <c r="B11" s="123" t="s">
        <v>10</v>
      </c>
      <c r="C11" s="124"/>
      <c r="D11" s="11">
        <f>VLOOKUP(C3,'جدول محاسبه حقوق و دستمزد'!A1:W18,15,0)</f>
        <v>179289037.84999999</v>
      </c>
      <c r="E11" s="123" t="s">
        <v>9</v>
      </c>
      <c r="F11" s="124"/>
      <c r="G11" s="11">
        <f>VLOOKUP(C3,'جدول محاسبه حقوق و دستمزد'!A1:W18,20,0)</f>
        <v>0</v>
      </c>
      <c r="H11" s="12"/>
    </row>
    <row r="12" spans="2:8" ht="21.75" customHeight="1" x14ac:dyDescent="0.2">
      <c r="B12" s="123" t="s">
        <v>11</v>
      </c>
      <c r="C12" s="124"/>
      <c r="D12" s="11">
        <f>VLOOKUP(C3,'جدول محاسبه حقوق و دستمزد'!A1:W18,6,0)</f>
        <v>16625550.000000002</v>
      </c>
      <c r="E12" s="123" t="s">
        <v>47</v>
      </c>
      <c r="F12" s="124"/>
      <c r="G12" s="11">
        <f>VLOOKUP(C3,'جدول محاسبه حقوق و دستمزد'!A1:W18,21,0)</f>
        <v>0</v>
      </c>
      <c r="H12" s="12"/>
    </row>
    <row r="13" spans="2:8" ht="21.75" customHeight="1" x14ac:dyDescent="0.2">
      <c r="B13" s="123" t="s">
        <v>49</v>
      </c>
      <c r="C13" s="124"/>
      <c r="D13" s="11">
        <f>VLOOKUP(C3,'جدول محاسبه حقوق و دستمزد'!A1:W18,11,0)</f>
        <v>30000000</v>
      </c>
      <c r="E13" s="123" t="s">
        <v>52</v>
      </c>
      <c r="F13" s="124"/>
      <c r="G13" s="11">
        <f>VLOOKUP(C3,'جدول محاسبه حقوق و دستمزد'!A1:W18,22,0)</f>
        <v>0</v>
      </c>
      <c r="H13" s="12"/>
    </row>
    <row r="14" spans="2:8" ht="21.75" customHeight="1" x14ac:dyDescent="0.2">
      <c r="B14" s="123" t="s">
        <v>21</v>
      </c>
      <c r="C14" s="124"/>
      <c r="D14" s="11">
        <f>VLOOKUP(C3,'جدول محاسبه حقوق و دستمزد'!A1:W18,10,0)</f>
        <v>22000000</v>
      </c>
      <c r="E14" s="6"/>
      <c r="F14" s="12"/>
      <c r="G14" s="13"/>
      <c r="H14" s="12"/>
    </row>
    <row r="15" spans="2:8" ht="21.75" customHeight="1" x14ac:dyDescent="0.2">
      <c r="B15" s="123" t="s">
        <v>13</v>
      </c>
      <c r="C15" s="124"/>
      <c r="D15" s="11">
        <f>VLOOKUP(C3,'جدول محاسبه حقوق و دستمزد'!A1:W18,7,0)</f>
        <v>13545357</v>
      </c>
      <c r="E15" s="6"/>
      <c r="F15" s="12"/>
      <c r="G15" s="13"/>
      <c r="H15" s="12"/>
    </row>
    <row r="16" spans="2:8" ht="21.75" customHeight="1" x14ac:dyDescent="0.2">
      <c r="B16" s="123" t="s">
        <v>22</v>
      </c>
      <c r="C16" s="124"/>
      <c r="D16" s="11">
        <f>VLOOKUP(C3,'جدول محاسبه حقوق و دستمزد'!A1:W18,8,0)</f>
        <v>19020483.492022727</v>
      </c>
      <c r="E16" s="6"/>
      <c r="F16" s="12"/>
      <c r="G16" s="13"/>
      <c r="H16" s="12"/>
    </row>
    <row r="17" spans="2:8" ht="21.75" customHeight="1" x14ac:dyDescent="0.2">
      <c r="B17" s="123" t="s">
        <v>84</v>
      </c>
      <c r="C17" s="124"/>
      <c r="D17" s="11">
        <f>VLOOKUP(C3,'جدول محاسبه حقوق و دستمزد'!A1:W18,13,0)</f>
        <v>0</v>
      </c>
      <c r="E17" s="6"/>
      <c r="F17" s="12"/>
      <c r="G17" s="13"/>
      <c r="H17" s="12"/>
    </row>
    <row r="18" spans="2:8" ht="21.75" customHeight="1" x14ac:dyDescent="0.2">
      <c r="B18" s="123" t="s">
        <v>85</v>
      </c>
      <c r="C18" s="124"/>
      <c r="D18" s="11">
        <f>VLOOKUP(C3,'جدول محاسبه حقوق و دستمزد'!A1:W18,14,0)</f>
        <v>0</v>
      </c>
      <c r="E18" s="6"/>
      <c r="F18" s="12"/>
      <c r="G18" s="13"/>
      <c r="H18" s="12"/>
    </row>
    <row r="19" spans="2:8" ht="21.75" customHeight="1" x14ac:dyDescent="0.2">
      <c r="B19" s="123" t="s">
        <v>50</v>
      </c>
      <c r="C19" s="124"/>
      <c r="D19" s="11">
        <f>VLOOKUP(C3,'جدول محاسبه حقوق و دستمزد'!A1:W18,12,0)</f>
        <v>5000000</v>
      </c>
      <c r="E19" s="6"/>
      <c r="F19" s="12"/>
      <c r="G19" s="13"/>
      <c r="H19" s="12"/>
    </row>
    <row r="20" spans="2:8" ht="27.75" customHeight="1" thickBot="1" x14ac:dyDescent="0.25">
      <c r="B20" s="126" t="s">
        <v>51</v>
      </c>
      <c r="C20" s="127"/>
      <c r="D20" s="14">
        <f>VLOOKUP(C3,'جدول محاسبه حقوق و دستمزد'!A1:W18,9,0)</f>
        <v>6785961.1090909094</v>
      </c>
      <c r="E20" s="8"/>
      <c r="F20" s="8"/>
      <c r="G20" s="15"/>
      <c r="H20" s="12"/>
    </row>
    <row r="21" spans="2:8" ht="20.100000000000001" customHeight="1" x14ac:dyDescent="0.2">
      <c r="B21" s="128" t="s">
        <v>25</v>
      </c>
      <c r="C21" s="125"/>
      <c r="D21" s="29">
        <f>SUM(D11:D20)</f>
        <v>292266389.45111364</v>
      </c>
      <c r="E21" s="125" t="s">
        <v>24</v>
      </c>
      <c r="F21" s="125"/>
      <c r="G21" s="30">
        <f>G10+G11+G12+G13</f>
        <v>18819841.483941592</v>
      </c>
      <c r="H21" s="12"/>
    </row>
    <row r="22" spans="2:8" ht="28.9" customHeight="1" thickBot="1" x14ac:dyDescent="0.25">
      <c r="B22" s="150" t="s">
        <v>121</v>
      </c>
      <c r="C22" s="151"/>
      <c r="D22" s="151"/>
      <c r="E22" s="152">
        <f>D21-G21</f>
        <v>273446547.96717203</v>
      </c>
      <c r="F22" s="152"/>
      <c r="G22" s="153"/>
      <c r="H22" s="12"/>
    </row>
    <row r="23" spans="2:8" ht="16.5" thickBot="1" x14ac:dyDescent="0.25">
      <c r="B23" s="129"/>
      <c r="C23" s="129"/>
      <c r="D23" s="129"/>
      <c r="E23" s="129"/>
      <c r="F23" s="129"/>
      <c r="G23" s="129"/>
      <c r="H23" s="129"/>
    </row>
    <row r="24" spans="2:8" ht="30.6" customHeight="1" x14ac:dyDescent="0.2">
      <c r="B24" s="136" t="s">
        <v>67</v>
      </c>
      <c r="C24" s="137"/>
      <c r="D24" s="137"/>
      <c r="E24" s="137" t="s">
        <v>68</v>
      </c>
      <c r="F24" s="137"/>
      <c r="G24" s="142"/>
      <c r="H24" s="54"/>
    </row>
    <row r="25" spans="2:8" ht="30.6" customHeight="1" x14ac:dyDescent="0.2">
      <c r="B25" s="138"/>
      <c r="C25" s="139"/>
      <c r="D25" s="139"/>
      <c r="E25" s="139"/>
      <c r="F25" s="139"/>
      <c r="G25" s="143"/>
      <c r="H25" s="54"/>
    </row>
    <row r="26" spans="2:8" ht="16.5" thickBot="1" x14ac:dyDescent="0.25">
      <c r="B26" s="140"/>
      <c r="C26" s="141"/>
      <c r="D26" s="141"/>
      <c r="E26" s="141"/>
      <c r="F26" s="141"/>
      <c r="G26" s="144"/>
      <c r="H26" s="12"/>
    </row>
  </sheetData>
  <sheetProtection algorithmName="SHA-512" hashValue="wvJVCRSpeAu9WfuHDuva2XW6iixDoW0IZt4NwRk66Xff5c0xn86mvBp0Hf4NQQEwU+ETdNAvg3HSw2VEaEpwSQ==" saltValue="GP1LbS8+5YUNEwvb19FX3A==" spinCount="100000" sheet="1" objects="1" scenarios="1"/>
  <mergeCells count="36">
    <mergeCell ref="B1:H1"/>
    <mergeCell ref="B24:D26"/>
    <mergeCell ref="E24:G26"/>
    <mergeCell ref="B2:G2"/>
    <mergeCell ref="B23:H23"/>
    <mergeCell ref="F6:G6"/>
    <mergeCell ref="F7:G7"/>
    <mergeCell ref="C7:D7"/>
    <mergeCell ref="B8:G8"/>
    <mergeCell ref="C3:D3"/>
    <mergeCell ref="C6:D6"/>
    <mergeCell ref="B22:D22"/>
    <mergeCell ref="E22:G22"/>
    <mergeCell ref="C4:D4"/>
    <mergeCell ref="C5:D5"/>
    <mergeCell ref="E12:F12"/>
    <mergeCell ref="F4:G4"/>
    <mergeCell ref="F5:G5"/>
    <mergeCell ref="B13:C13"/>
    <mergeCell ref="B9:D9"/>
    <mergeCell ref="E9:G9"/>
    <mergeCell ref="E13:F13"/>
    <mergeCell ref="B11:C11"/>
    <mergeCell ref="B12:C12"/>
    <mergeCell ref="B10:C10"/>
    <mergeCell ref="E10:F10"/>
    <mergeCell ref="E11:F11"/>
    <mergeCell ref="B18:C18"/>
    <mergeCell ref="E21:F21"/>
    <mergeCell ref="B14:C14"/>
    <mergeCell ref="B15:C15"/>
    <mergeCell ref="B16:C16"/>
    <mergeCell ref="B17:C17"/>
    <mergeCell ref="B19:C19"/>
    <mergeCell ref="B20:C20"/>
    <mergeCell ref="B21:C21"/>
  </mergeCells>
  <printOptions horizontalCentered="1"/>
  <pageMargins left="0" right="0.23622047244094491" top="0" bottom="0" header="0" footer="0"/>
  <pageSetup paperSize="11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جدول ورود اطلاعات پرسنل</vt:lpstr>
      <vt:lpstr>جدول محاسبه حقوق و دستمزد</vt:lpstr>
      <vt:lpstr>فیش حقوقی</vt:lpstr>
      <vt:lpstr>'جدول محاسبه حقوق و دستمزد'!Print_Area</vt:lpstr>
      <vt:lpstr>'جدول ورود اطلاعات پرسنل'!Print_Area</vt:lpstr>
      <vt:lpstr>'فیش حقوقی'!Print_Area</vt:lpstr>
      <vt:lpstr>'جدول محاسبه حقوق و دستمزد'!Print_Titles</vt:lpstr>
      <vt:lpstr>tavieh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اکسل-حقوق-دستمزد-1405</dc:title>
  <dc:creator>tarazban.com</dc:creator>
  <cp:lastModifiedBy>Milad Akhlaghi</cp:lastModifiedBy>
  <cp:lastPrinted>2025-03-16T11:28:02Z</cp:lastPrinted>
  <dcterms:created xsi:type="dcterms:W3CDTF">2024-03-27T12:47:24Z</dcterms:created>
  <dcterms:modified xsi:type="dcterms:W3CDTF">2026-05-23T11:26:43Z</dcterms:modified>
  <cp:version>1403</cp:version>
</cp:coreProperties>
</file>