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shami\Downloads\website\"/>
    </mc:Choice>
  </mc:AlternateContent>
  <bookViews>
    <workbookView xWindow="0" yWindow="0" windowWidth="23910" windowHeight="9570" tabRatio="730" activeTab="1"/>
  </bookViews>
  <sheets>
    <sheet name="جدول ورود اطلاعات پرسنل" sheetId="25" r:id="rId1"/>
    <sheet name="جدول محاسبه حقوق و دستمزد" sheetId="21" r:id="rId2"/>
    <sheet name="فیش حقوقی" sheetId="8" r:id="rId3"/>
  </sheets>
  <definedNames>
    <definedName name="_xlnm._FilterDatabase" localSheetId="1" hidden="1">'جدول محاسبه حقوق و دستمزد'!$A$3:$W$10</definedName>
    <definedName name="mazaya1">#REF!</definedName>
    <definedName name="mazaya2">#REF!</definedName>
    <definedName name="_xlnm.Print_Area" localSheetId="1">'جدول محاسبه حقوق و دستمزد'!$A$1:$W$13</definedName>
    <definedName name="_xlnm.Print_Area" localSheetId="0">'جدول ورود اطلاعات پرسنل'!$A$1:$Q$12</definedName>
    <definedName name="_xlnm.Print_Area" localSheetId="2">'فیش حقوقی'!$B$1:$H$27</definedName>
    <definedName name="_xlnm.Print_Titles" localSheetId="1">'جدول محاسبه حقوق و دستمزد'!$1:$4</definedName>
    <definedName name="tavieh">'جدول محاسبه حقوق و دستمزد'!$A$1:$W$13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1" l="1"/>
  <c r="N9" i="21"/>
  <c r="N10" i="21"/>
  <c r="L5" i="21"/>
  <c r="L6" i="21"/>
  <c r="L7" i="21"/>
  <c r="L8" i="21"/>
  <c r="G14" i="8"/>
  <c r="G13" i="8"/>
  <c r="P11" i="21"/>
  <c r="Q11" i="21"/>
  <c r="R11" i="21"/>
  <c r="S11" i="21"/>
  <c r="T11" i="21"/>
  <c r="U11" i="21"/>
  <c r="V11" i="21"/>
  <c r="D19" i="8"/>
  <c r="D18" i="8"/>
  <c r="A11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M6" i="21"/>
  <c r="N6" i="21"/>
  <c r="M7" i="21"/>
  <c r="N7" i="21"/>
  <c r="M8" i="21"/>
  <c r="N8" i="21"/>
  <c r="N5" i="21"/>
  <c r="M5" i="21"/>
  <c r="D6" i="21"/>
  <c r="D7" i="21"/>
  <c r="D8" i="21"/>
  <c r="D9" i="21"/>
  <c r="D5" i="21"/>
  <c r="U10" i="21"/>
  <c r="V10" i="21"/>
  <c r="F7" i="8"/>
  <c r="C8" i="8"/>
  <c r="C7" i="8"/>
  <c r="F4" i="8"/>
  <c r="F5" i="8"/>
  <c r="F6" i="8"/>
  <c r="T1" i="21"/>
  <c r="A9" i="21"/>
  <c r="A8" i="21"/>
  <c r="A7" i="21"/>
  <c r="A6" i="21"/>
  <c r="A5" i="21"/>
  <c r="F6" i="21"/>
  <c r="F7" i="21"/>
  <c r="F8" i="21"/>
  <c r="F9" i="21"/>
  <c r="F5" i="21"/>
  <c r="L9" i="21"/>
  <c r="K6" i="21"/>
  <c r="K7" i="21"/>
  <c r="K8" i="21"/>
  <c r="K9" i="21"/>
  <c r="K5" i="21"/>
  <c r="J5" i="21"/>
  <c r="J6" i="21"/>
  <c r="J7" i="21"/>
  <c r="J8" i="21"/>
  <c r="J9" i="21"/>
  <c r="G6" i="21"/>
  <c r="G7" i="21"/>
  <c r="G8" i="21"/>
  <c r="G9" i="21"/>
  <c r="B9" i="21"/>
  <c r="C9" i="21"/>
  <c r="C8" i="21"/>
  <c r="B8" i="21"/>
  <c r="C7" i="21"/>
  <c r="B7" i="21"/>
  <c r="C6" i="21"/>
  <c r="B6" i="21"/>
  <c r="C5" i="21"/>
  <c r="B5" i="21"/>
  <c r="G5" i="21"/>
  <c r="E9" i="21" l="1"/>
  <c r="O9" i="21"/>
  <c r="E8" i="21"/>
  <c r="O8" i="21"/>
  <c r="E7" i="21"/>
  <c r="O7" i="21"/>
  <c r="E6" i="21"/>
  <c r="O6" i="21"/>
  <c r="O5" i="21"/>
  <c r="E5" i="21"/>
  <c r="H5" i="21" s="1"/>
  <c r="D14" i="8"/>
  <c r="D13" i="8"/>
  <c r="D15" i="8"/>
  <c r="D20" i="8"/>
  <c r="I9" i="21"/>
  <c r="I7" i="21"/>
  <c r="M10" i="21"/>
  <c r="I8" i="21"/>
  <c r="C5" i="8"/>
  <c r="L10" i="21"/>
  <c r="F10" i="21"/>
  <c r="G10" i="21"/>
  <c r="J10" i="21"/>
  <c r="K10" i="21"/>
  <c r="D12" i="8"/>
  <c r="D11" i="8"/>
  <c r="D16" i="8"/>
  <c r="C6" i="8"/>
  <c r="I5" i="21"/>
  <c r="I6" i="21"/>
  <c r="H6" i="21"/>
  <c r="D21" i="8" l="1"/>
  <c r="R6" i="21"/>
  <c r="P6" i="21"/>
  <c r="S6" i="21" s="1"/>
  <c r="Q6" i="21"/>
  <c r="T6" i="21" s="1"/>
  <c r="Q5" i="21"/>
  <c r="T5" i="21" s="1"/>
  <c r="R5" i="21"/>
  <c r="P5" i="21"/>
  <c r="I10" i="21"/>
  <c r="H7" i="21"/>
  <c r="Q7" i="21" s="1"/>
  <c r="H9" i="21"/>
  <c r="Q9" i="21" s="1"/>
  <c r="H8" i="21"/>
  <c r="P9" i="21" l="1"/>
  <c r="S9" i="21" s="1"/>
  <c r="R9" i="21"/>
  <c r="P8" i="21"/>
  <c r="S8" i="21" s="1"/>
  <c r="R8" i="21"/>
  <c r="D22" i="8" s="1"/>
  <c r="Q8" i="21"/>
  <c r="T8" i="21" s="1"/>
  <c r="P7" i="21"/>
  <c r="S7" i="21" s="1"/>
  <c r="R7" i="21"/>
  <c r="D17" i="8"/>
  <c r="O10" i="21"/>
  <c r="T7" i="21"/>
  <c r="G12" i="8" s="1"/>
  <c r="H10" i="21"/>
  <c r="S5" i="21"/>
  <c r="T9" i="21"/>
  <c r="G11" i="8" l="1"/>
  <c r="R10" i="21"/>
  <c r="P10" i="21"/>
  <c r="S10" i="21"/>
  <c r="Q10" i="21"/>
  <c r="W9" i="21"/>
  <c r="W6" i="21"/>
  <c r="W8" i="21"/>
  <c r="G22" i="8" l="1"/>
  <c r="T10" i="21"/>
  <c r="S13" i="21"/>
  <c r="S12" i="21"/>
  <c r="O12" i="21"/>
  <c r="W7" i="21"/>
  <c r="W5" i="21"/>
  <c r="E23" i="8" l="1"/>
  <c r="U13" i="21"/>
  <c r="W10" i="21"/>
</calcChain>
</file>

<file path=xl/comments1.xml><?xml version="1.0" encoding="utf-8"?>
<comments xmlns="http://schemas.openxmlformats.org/spreadsheetml/2006/main">
  <authors>
    <author>Akhlaghi</author>
  </authors>
  <commentList>
    <comment ref="F4" authorId="0" shapeId="0">
      <text>
        <r>
          <rPr>
            <sz val="9"/>
            <color indexed="81"/>
            <rFont val="Tahoma"/>
            <charset val="178"/>
          </rPr>
          <t xml:space="preserve">متاهل: عدد 1 وارد شود
مجرد: عدد 0 وارد شود
</t>
        </r>
      </text>
    </comment>
  </commentList>
</comments>
</file>

<file path=xl/sharedStrings.xml><?xml version="1.0" encoding="utf-8"?>
<sst xmlns="http://schemas.openxmlformats.org/spreadsheetml/2006/main" count="123" uniqueCount="111">
  <si>
    <t>حق اولاد</t>
  </si>
  <si>
    <t xml:space="preserve"> دستمزد ماهانه</t>
  </si>
  <si>
    <t>جمع حقوق و مزایا مشمول و غیر مشمول</t>
  </si>
  <si>
    <t xml:space="preserve">نام خانوادگی </t>
  </si>
  <si>
    <t>امضاء مدیر عامل</t>
  </si>
  <si>
    <t>حق بیمه سهم بیمه شده 7% =</t>
  </si>
  <si>
    <t>حق بیمه سهم کارفرما 20% =</t>
  </si>
  <si>
    <t>نام</t>
  </si>
  <si>
    <t>1</t>
  </si>
  <si>
    <t>نام :</t>
  </si>
  <si>
    <t>نام خانوادگی :</t>
  </si>
  <si>
    <t>مالیات حقوق :</t>
  </si>
  <si>
    <t>حقوق ماهانه :</t>
  </si>
  <si>
    <t>حق اولاد :</t>
  </si>
  <si>
    <t>پایه سنوات</t>
  </si>
  <si>
    <t>پایه سنوات :</t>
  </si>
  <si>
    <t xml:space="preserve">جمع حقوق و مزایا مشمول مالیات </t>
  </si>
  <si>
    <t>حق مسکن</t>
  </si>
  <si>
    <t>کمک هزینه اقلام مصرفی</t>
  </si>
  <si>
    <t>تنظیم کننده</t>
  </si>
  <si>
    <t>مدیرمالی</t>
  </si>
  <si>
    <t>2</t>
  </si>
  <si>
    <t>کسـورات</t>
  </si>
  <si>
    <t>حقـوق و مزایا</t>
  </si>
  <si>
    <t>0</t>
  </si>
  <si>
    <t>حق بیمه بیکاری 3% =</t>
  </si>
  <si>
    <t>حقوق و مزایا</t>
  </si>
  <si>
    <t>کسورات</t>
  </si>
  <si>
    <t>اضافه کاری (ساعت):</t>
  </si>
  <si>
    <t>کمک هزینه اقلام مصرفی:</t>
  </si>
  <si>
    <t>اضافه کاری:</t>
  </si>
  <si>
    <t>جمع حقوق و مزایا مشمول بیمه</t>
  </si>
  <si>
    <t>جمع کسورات</t>
  </si>
  <si>
    <t>جمع حقوق و مزایا</t>
  </si>
  <si>
    <t>کد پرسنلی:</t>
  </si>
  <si>
    <t>نام خانوادگی</t>
  </si>
  <si>
    <t>آخرین دستمزد روزانه 1402</t>
  </si>
  <si>
    <t>تعداد فرزند</t>
  </si>
  <si>
    <t>کد ملی</t>
  </si>
  <si>
    <t>شناسه بیمه</t>
  </si>
  <si>
    <t>حق جذب</t>
  </si>
  <si>
    <t>حق سرپرستی</t>
  </si>
  <si>
    <t>اضافه کاری (ساعت)</t>
  </si>
  <si>
    <t>اضافه کاری (دقیقه)</t>
  </si>
  <si>
    <t>سابقه کار در شرکت (روز)</t>
  </si>
  <si>
    <t>ماموریت (روز)</t>
  </si>
  <si>
    <t>کارکرد طی ماه (روز)</t>
  </si>
  <si>
    <t>حق تاهل</t>
  </si>
  <si>
    <t>دستمزد روزانه 1403</t>
  </si>
  <si>
    <t>ماه</t>
  </si>
  <si>
    <t>فروردین</t>
  </si>
  <si>
    <t>خالص پرداخـتی</t>
  </si>
  <si>
    <t>اضافه کار ی</t>
  </si>
  <si>
    <t>حق ماموریت</t>
  </si>
  <si>
    <t>اطلاعات پایه</t>
  </si>
  <si>
    <t>1403</t>
  </si>
  <si>
    <t>سایر</t>
  </si>
  <si>
    <t>مساعده</t>
  </si>
  <si>
    <t>پایه حقوق ماهانه (بر مبنای 30 روز)</t>
  </si>
  <si>
    <t>متاهل</t>
  </si>
  <si>
    <t>حق بیمه سهم پرسنل</t>
  </si>
  <si>
    <t>مالیات حقوق</t>
  </si>
  <si>
    <t>ماه:</t>
  </si>
  <si>
    <t>سال 1403</t>
  </si>
  <si>
    <t>شماره ملی:</t>
  </si>
  <si>
    <t>شماره بیمه:</t>
  </si>
  <si>
    <t>کد پرسنلی</t>
  </si>
  <si>
    <t>جمع کل (ريال)</t>
  </si>
  <si>
    <t>بیمه سهم پرسنل :</t>
  </si>
  <si>
    <t>مساعده:</t>
  </si>
  <si>
    <t>دستمزد روزانه:</t>
  </si>
  <si>
    <t>حق مسکن :</t>
  </si>
  <si>
    <t>حق تاهل:</t>
  </si>
  <si>
    <t>حق ماموریت:</t>
  </si>
  <si>
    <t>خالص قابل پرداخت :</t>
  </si>
  <si>
    <t>سایر (بیمه تکمیلی):</t>
  </si>
  <si>
    <t>کارکرد ماهانه (روز):</t>
  </si>
  <si>
    <t>ماموریت (روز):</t>
  </si>
  <si>
    <t>فیـش حقـوق مـاهانه پرسنل</t>
  </si>
  <si>
    <t>داده های مورد نیاز کارکرد ماهانه پرسنل</t>
  </si>
  <si>
    <t>امضاء و اثر انگشت / تاریخ:</t>
  </si>
  <si>
    <t>جمع کل حق بیمه 30%</t>
  </si>
  <si>
    <t>در صورت تمایل جهت تهیه فایل اکسل محاسبه حقوق و دستمزد اختصاصی برای شرکت یا کسب و کار خود ، به نشانی info@tarazban.com ایمیل و یا به شماره تلگرام 09355435885 درخواست خود را ارسال نمایید.</t>
  </si>
  <si>
    <t>مزایا 1</t>
  </si>
  <si>
    <t xml:space="preserve">مزایا 2 </t>
  </si>
  <si>
    <t>مزایا 1:</t>
  </si>
  <si>
    <t>مزایا 2:</t>
  </si>
  <si>
    <t>اینجانب:....................................... کلیه حقوق و مزایای ماهانه خود تا پایان فروردین 1403 را از شرکت  **** دریافت نمودم.</t>
  </si>
  <si>
    <t>3</t>
  </si>
  <si>
    <t>4</t>
  </si>
  <si>
    <t>5</t>
  </si>
  <si>
    <t>001</t>
  </si>
  <si>
    <t>003</t>
  </si>
  <si>
    <t>004</t>
  </si>
  <si>
    <t>002</t>
  </si>
  <si>
    <t>005</t>
  </si>
  <si>
    <t>لطفا داده های ماهانه پرسنل جهت محاسبه حقوق و دستمزد را وارد نمایید</t>
  </si>
  <si>
    <t>مشخصات فردی</t>
  </si>
  <si>
    <t>نام خانوادگی 2</t>
  </si>
  <si>
    <t>نام خانوادگی 1</t>
  </si>
  <si>
    <t>نام خانوادگی 3</t>
  </si>
  <si>
    <t>نام خانوادگی 4</t>
  </si>
  <si>
    <t>نام خانوادگی 5</t>
  </si>
  <si>
    <t>نام 1</t>
  </si>
  <si>
    <t>نام 2</t>
  </si>
  <si>
    <t>نام 3</t>
  </si>
  <si>
    <t>نام 4</t>
  </si>
  <si>
    <t>نام 5</t>
  </si>
  <si>
    <t>نام شرکت یا موسسه</t>
  </si>
  <si>
    <t>جدول محاسبات حقوق و دستمزد ماهیانه شرکت یا موسسه نمونه</t>
  </si>
  <si>
    <t>شرکت یا موسسه نمونه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</si>
</sst>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178"/>
    </font>
    <font>
      <b/>
      <sz val="10"/>
      <name val="B Nazanin"/>
      <charset val="178"/>
    </font>
    <font>
      <b/>
      <sz val="16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b/>
      <sz val="12"/>
      <name val="B Titr"/>
      <charset val="178"/>
    </font>
    <font>
      <sz val="14"/>
      <name val="B Titr"/>
      <charset val="178"/>
    </font>
    <font>
      <b/>
      <sz val="16"/>
      <name val="B Titr"/>
      <charset val="178"/>
    </font>
    <font>
      <b/>
      <sz val="10"/>
      <name val="B Titr"/>
      <charset val="178"/>
    </font>
    <font>
      <b/>
      <sz val="11"/>
      <name val="B Titr"/>
      <charset val="178"/>
    </font>
    <font>
      <sz val="14"/>
      <name val="B Nazanin"/>
      <charset val="178"/>
    </font>
    <font>
      <b/>
      <sz val="18"/>
      <name val="B Titr"/>
      <charset val="178"/>
    </font>
    <font>
      <sz val="8"/>
      <name val="Arial"/>
      <charset val="178"/>
    </font>
    <font>
      <sz val="9"/>
      <color indexed="81"/>
      <name val="Tahoma"/>
      <charset val="178"/>
    </font>
    <font>
      <i/>
      <sz val="10"/>
      <name val="B Nazanin"/>
      <charset val="178"/>
    </font>
    <font>
      <b/>
      <sz val="16"/>
      <color rgb="FFFF0000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43">
    <xf numFmtId="0" fontId="0" fillId="0" borderId="0" xfId="0"/>
    <xf numFmtId="3" fontId="12" fillId="0" borderId="0" xfId="0" applyNumberFormat="1" applyFont="1" applyAlignment="1">
      <alignment horizontal="center" vertical="center" readingOrder="2"/>
    </xf>
    <xf numFmtId="0" fontId="12" fillId="0" borderId="0" xfId="0" applyFont="1" applyAlignment="1">
      <alignment readingOrder="2"/>
    </xf>
    <xf numFmtId="49" fontId="12" fillId="0" borderId="0" xfId="0" applyNumberFormat="1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49" fontId="12" fillId="0" borderId="6" xfId="0" applyNumberFormat="1" applyFont="1" applyBorder="1" applyAlignment="1">
      <alignment horizontal="center" vertical="center" readingOrder="2"/>
    </xf>
    <xf numFmtId="3" fontId="12" fillId="0" borderId="6" xfId="0" applyNumberFormat="1" applyFont="1" applyBorder="1" applyAlignment="1">
      <alignment horizontal="center" vertical="center" readingOrder="2"/>
    </xf>
    <xf numFmtId="0" fontId="12" fillId="0" borderId="6" xfId="0" applyFont="1" applyBorder="1" applyAlignment="1">
      <alignment horizontal="center" vertical="center" readingOrder="2"/>
    </xf>
    <xf numFmtId="3" fontId="12" fillId="0" borderId="4" xfId="0" applyNumberFormat="1" applyFont="1" applyBorder="1" applyAlignment="1">
      <alignment horizontal="center" vertical="center" readingOrder="2"/>
    </xf>
    <xf numFmtId="49" fontId="12" fillId="0" borderId="7" xfId="0" applyNumberFormat="1" applyFont="1" applyBorder="1" applyAlignment="1">
      <alignment horizontal="center" vertical="center" readingOrder="2"/>
    </xf>
    <xf numFmtId="0" fontId="12" fillId="0" borderId="7" xfId="0" applyFont="1" applyBorder="1" applyAlignment="1">
      <alignment horizontal="center" vertical="center" readingOrder="2"/>
    </xf>
    <xf numFmtId="3" fontId="12" fillId="0" borderId="7" xfId="0" applyNumberFormat="1" applyFont="1" applyBorder="1" applyAlignment="1">
      <alignment horizontal="center" vertical="center" readingOrder="2"/>
    </xf>
    <xf numFmtId="3" fontId="12" fillId="0" borderId="24" xfId="0" applyNumberFormat="1" applyFont="1" applyBorder="1" applyAlignment="1">
      <alignment horizontal="center" vertical="center" readingOrder="2"/>
    </xf>
    <xf numFmtId="0" fontId="1" fillId="0" borderId="0" xfId="0" applyFont="1" applyAlignment="1" applyProtection="1">
      <alignment vertical="center" readingOrder="2"/>
      <protection locked="0"/>
    </xf>
    <xf numFmtId="49" fontId="5" fillId="10" borderId="21" xfId="0" applyNumberFormat="1" applyFont="1" applyFill="1" applyBorder="1" applyAlignment="1">
      <alignment horizontal="center" vertical="center" readingOrder="2"/>
    </xf>
    <xf numFmtId="3" fontId="5" fillId="10" borderId="21" xfId="0" applyNumberFormat="1" applyFont="1" applyFill="1" applyBorder="1" applyAlignment="1">
      <alignment horizontal="center" vertical="center" wrapText="1" readingOrder="2"/>
    </xf>
    <xf numFmtId="3" fontId="5" fillId="10" borderId="21" xfId="0" applyNumberFormat="1" applyFont="1" applyFill="1" applyBorder="1" applyAlignment="1">
      <alignment horizontal="center" vertical="center" readingOrder="2"/>
    </xf>
    <xf numFmtId="0" fontId="5" fillId="10" borderId="21" xfId="0" applyFont="1" applyFill="1" applyBorder="1" applyAlignment="1">
      <alignment horizontal="center" vertical="center" wrapText="1" readingOrder="2"/>
    </xf>
    <xf numFmtId="3" fontId="5" fillId="10" borderId="22" xfId="0" applyNumberFormat="1" applyFont="1" applyFill="1" applyBorder="1" applyAlignment="1">
      <alignment horizontal="center" vertical="center" readingOrder="2"/>
    </xf>
    <xf numFmtId="0" fontId="10" fillId="0" borderId="0" xfId="0" applyFont="1" applyAlignment="1" applyProtection="1">
      <alignment vertical="center" readingOrder="2"/>
      <protection locked="0"/>
    </xf>
    <xf numFmtId="0" fontId="1" fillId="0" borderId="10" xfId="0" applyFont="1" applyBorder="1" applyAlignment="1" applyProtection="1">
      <alignment vertical="center" readingOrder="2"/>
      <protection locked="0"/>
    </xf>
    <xf numFmtId="0" fontId="1" fillId="0" borderId="17" xfId="0" applyFont="1" applyBorder="1" applyAlignment="1" applyProtection="1">
      <alignment vertical="center" readingOrder="2"/>
      <protection hidden="1"/>
    </xf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13" xfId="0" applyFont="1" applyBorder="1" applyAlignment="1" applyProtection="1">
      <alignment vertical="center" readingOrder="2"/>
      <protection hidden="1"/>
    </xf>
    <xf numFmtId="0" fontId="1" fillId="0" borderId="14" xfId="0" applyFont="1" applyBorder="1" applyAlignment="1" applyProtection="1">
      <alignment vertical="center" readingOrder="2"/>
      <protection hidden="1"/>
    </xf>
    <xf numFmtId="0" fontId="1" fillId="0" borderId="9" xfId="0" applyFont="1" applyBorder="1" applyAlignment="1" applyProtection="1">
      <alignment horizontal="right" vertical="center" readingOrder="2"/>
      <protection hidden="1"/>
    </xf>
    <xf numFmtId="0" fontId="1" fillId="0" borderId="9" xfId="0" applyFont="1" applyBorder="1" applyAlignment="1" applyProtection="1">
      <alignment horizontal="center" vertical="center" readingOrder="2"/>
      <protection hidden="1"/>
    </xf>
    <xf numFmtId="0" fontId="1" fillId="0" borderId="16" xfId="0" applyFont="1" applyBorder="1" applyAlignment="1" applyProtection="1">
      <alignment horizontal="center" vertical="center" readingOrder="2"/>
      <protection hidden="1"/>
    </xf>
    <xf numFmtId="3" fontId="1" fillId="0" borderId="16" xfId="0" applyNumberFormat="1" applyFont="1" applyBorder="1" applyAlignment="1" applyProtection="1">
      <alignment horizontal="center" vertical="center" readingOrder="2"/>
      <protection hidden="1"/>
    </xf>
    <xf numFmtId="3" fontId="1" fillId="0" borderId="18" xfId="0" applyNumberFormat="1" applyFont="1" applyBorder="1" applyAlignment="1" applyProtection="1">
      <alignment horizontal="center" vertical="center" readingOrder="2"/>
      <protection hidden="1"/>
    </xf>
    <xf numFmtId="0" fontId="1" fillId="0" borderId="0" xfId="0" applyFont="1" applyAlignment="1" applyProtection="1">
      <alignment vertical="center" readingOrder="2"/>
      <protection hidden="1"/>
    </xf>
    <xf numFmtId="3" fontId="4" fillId="0" borderId="18" xfId="0" applyNumberFormat="1" applyFont="1" applyBorder="1" applyAlignment="1" applyProtection="1">
      <alignment horizontal="center" vertical="center" readingOrder="2"/>
      <protection hidden="1"/>
    </xf>
    <xf numFmtId="3" fontId="1" fillId="0" borderId="12" xfId="0" applyNumberFormat="1" applyFont="1" applyBorder="1" applyAlignment="1" applyProtection="1">
      <alignment horizontal="center" vertical="center" readingOrder="2"/>
      <protection hidden="1"/>
    </xf>
    <xf numFmtId="0" fontId="1" fillId="0" borderId="12" xfId="0" applyFont="1" applyBorder="1" applyAlignment="1" applyProtection="1">
      <alignment vertical="center" readingOrder="2"/>
      <protection hidden="1"/>
    </xf>
    <xf numFmtId="3" fontId="11" fillId="10" borderId="9" xfId="0" applyNumberFormat="1" applyFont="1" applyFill="1" applyBorder="1" applyAlignment="1" applyProtection="1">
      <alignment horizontal="center" vertical="center" readingOrder="2"/>
      <protection hidden="1"/>
    </xf>
    <xf numFmtId="3" fontId="11" fillId="10" borderId="16" xfId="0" applyNumberFormat="1" applyFont="1" applyFill="1" applyBorder="1" applyAlignment="1" applyProtection="1">
      <alignment horizontal="center" vertical="center" readingOrder="2"/>
      <protection hidden="1"/>
    </xf>
    <xf numFmtId="0" fontId="0" fillId="0" borderId="0" xfId="0" applyProtection="1"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49" fontId="3" fillId="3" borderId="6" xfId="0" applyNumberFormat="1" applyFont="1" applyFill="1" applyBorder="1" applyAlignment="1" applyProtection="1">
      <alignment horizontal="center" vertical="center"/>
      <protection hidden="1"/>
    </xf>
    <xf numFmtId="3" fontId="3" fillId="3" borderId="6" xfId="0" applyNumberFormat="1" applyFont="1" applyFill="1" applyBorder="1" applyAlignment="1" applyProtection="1">
      <alignment horizontal="center" vertical="center"/>
      <protection hidden="1"/>
    </xf>
    <xf numFmtId="3" fontId="3" fillId="3" borderId="6" xfId="0" applyNumberFormat="1" applyFont="1" applyFill="1" applyBorder="1" applyAlignment="1" applyProtection="1">
      <alignment horizontal="center" vertical="center" wrapText="1"/>
      <protection hidden="1"/>
    </xf>
    <xf numFmtId="3" fontId="3" fillId="3" borderId="8" xfId="0" applyNumberFormat="1" applyFont="1" applyFill="1" applyBorder="1" applyAlignment="1" applyProtection="1">
      <alignment horizontal="center" vertical="center"/>
      <protection hidden="1"/>
    </xf>
    <xf numFmtId="3" fontId="3" fillId="4" borderId="6" xfId="0" applyNumberFormat="1" applyFont="1" applyFill="1" applyBorder="1" applyAlignment="1" applyProtection="1">
      <alignment horizontal="center" vertical="center"/>
      <protection hidden="1"/>
    </xf>
    <xf numFmtId="3" fontId="3" fillId="6" borderId="6" xfId="0" applyNumberFormat="1" applyFont="1" applyFill="1" applyBorder="1" applyAlignment="1" applyProtection="1">
      <alignment horizontal="center" vertical="center"/>
      <protection hidden="1"/>
    </xf>
    <xf numFmtId="3" fontId="3" fillId="7" borderId="19" xfId="0" applyNumberFormat="1" applyFont="1" applyFill="1" applyBorder="1" applyAlignment="1" applyProtection="1">
      <alignment horizontal="center" vertical="center"/>
      <protection hidden="1"/>
    </xf>
    <xf numFmtId="3" fontId="3" fillId="3" borderId="19" xfId="0" applyNumberFormat="1" applyFont="1" applyFill="1" applyBorder="1" applyAlignment="1" applyProtection="1">
      <alignment horizontal="center" vertical="center"/>
      <protection hidden="1"/>
    </xf>
    <xf numFmtId="3" fontId="3" fillId="0" borderId="6" xfId="0" applyNumberFormat="1" applyFont="1" applyBorder="1" applyAlignment="1" applyProtection="1">
      <alignment horizontal="center" vertical="center"/>
      <protection hidden="1"/>
    </xf>
    <xf numFmtId="3" fontId="7" fillId="3" borderId="5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3" fontId="0" fillId="0" borderId="0" xfId="0" applyNumberFormat="1" applyProtection="1"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left" vertical="center"/>
      <protection hidden="1"/>
    </xf>
    <xf numFmtId="3" fontId="2" fillId="0" borderId="0" xfId="0" applyNumberFormat="1" applyFont="1" applyAlignment="1" applyProtection="1">
      <alignment vertical="center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2" fillId="2" borderId="0" xfId="0" applyNumberFormat="1" applyFont="1" applyFill="1" applyAlignment="1" applyProtection="1">
      <alignment horizontal="right" vertical="center"/>
      <protection hidden="1"/>
    </xf>
    <xf numFmtId="3" fontId="2" fillId="2" borderId="0" xfId="0" applyNumberFormat="1" applyFont="1" applyFill="1" applyAlignment="1" applyProtection="1">
      <alignment horizontal="left" vertical="center"/>
      <protection hidden="1"/>
    </xf>
    <xf numFmtId="3" fontId="2" fillId="2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49" fontId="8" fillId="0" borderId="0" xfId="0" applyNumberFormat="1" applyFont="1" applyAlignment="1">
      <alignment horizontal="center" readingOrder="2"/>
    </xf>
    <xf numFmtId="49" fontId="5" fillId="9" borderId="31" xfId="0" applyNumberFormat="1" applyFont="1" applyFill="1" applyBorder="1" applyAlignment="1">
      <alignment horizontal="center" vertical="center" readingOrder="2"/>
    </xf>
    <xf numFmtId="49" fontId="5" fillId="9" borderId="25" xfId="0" applyNumberFormat="1" applyFont="1" applyFill="1" applyBorder="1" applyAlignment="1">
      <alignment horizontal="center" vertical="center" readingOrder="2"/>
    </xf>
    <xf numFmtId="3" fontId="5" fillId="8" borderId="32" xfId="0" applyNumberFormat="1" applyFont="1" applyFill="1" applyBorder="1" applyAlignment="1">
      <alignment horizontal="center" vertical="center" readingOrder="2"/>
    </xf>
    <xf numFmtId="3" fontId="5" fillId="8" borderId="9" xfId="0" applyNumberFormat="1" applyFont="1" applyFill="1" applyBorder="1" applyAlignment="1">
      <alignment horizontal="center" vertical="center" readingOrder="2"/>
    </xf>
    <xf numFmtId="3" fontId="5" fillId="8" borderId="16" xfId="0" applyNumberFormat="1" applyFont="1" applyFill="1" applyBorder="1" applyAlignment="1">
      <alignment horizontal="center" vertical="center" readingOrder="2"/>
    </xf>
    <xf numFmtId="49" fontId="17" fillId="0" borderId="0" xfId="0" applyNumberFormat="1" applyFont="1" applyAlignment="1">
      <alignment horizontal="center" vertical="center" wrapText="1" readingOrder="2"/>
    </xf>
    <xf numFmtId="3" fontId="2" fillId="2" borderId="0" xfId="0" applyNumberFormat="1" applyFont="1" applyFill="1" applyAlignment="1" applyProtection="1">
      <alignment horizontal="left" vertical="center"/>
      <protection hidden="1"/>
    </xf>
    <xf numFmtId="49" fontId="8" fillId="0" borderId="10" xfId="0" applyNumberFormat="1" applyFont="1" applyBorder="1" applyAlignment="1" applyProtection="1">
      <alignment horizontal="center" vertical="center"/>
      <protection hidden="1"/>
    </xf>
    <xf numFmtId="49" fontId="8" fillId="0" borderId="9" xfId="0" applyNumberFormat="1" applyFont="1" applyBorder="1" applyAlignment="1" applyProtection="1">
      <alignment horizontal="center" vertical="center"/>
      <protection hidden="1"/>
    </xf>
    <xf numFmtId="49" fontId="8" fillId="0" borderId="16" xfId="0" applyNumberFormat="1" applyFont="1" applyBorder="1" applyAlignment="1" applyProtection="1">
      <alignment horizontal="center" vertical="center"/>
      <protection hidden="1"/>
    </xf>
    <xf numFmtId="0" fontId="3" fillId="5" borderId="20" xfId="0" applyFont="1" applyFill="1" applyBorder="1" applyAlignment="1" applyProtection="1">
      <alignment horizontal="center" vertical="center" wrapText="1"/>
      <protection hidden="1"/>
    </xf>
    <xf numFmtId="0" fontId="3" fillId="5" borderId="8" xfId="0" applyFont="1" applyFill="1" applyBorder="1" applyAlignment="1" applyProtection="1">
      <alignment horizontal="center" vertical="center" wrapText="1"/>
      <protection hidden="1"/>
    </xf>
    <xf numFmtId="0" fontId="3" fillId="5" borderId="21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3" fillId="5" borderId="22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30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3" fontId="2" fillId="2" borderId="0" xfId="0" applyNumberFormat="1" applyFont="1" applyFill="1" applyAlignment="1" applyProtection="1">
      <alignment horizontal="right" vertical="center"/>
      <protection hidden="1"/>
    </xf>
    <xf numFmtId="0" fontId="3" fillId="11" borderId="21" xfId="0" applyFont="1" applyFill="1" applyBorder="1" applyAlignment="1" applyProtection="1">
      <alignment horizontal="center" vertical="center" wrapText="1"/>
      <protection hidden="1"/>
    </xf>
    <xf numFmtId="0" fontId="3" fillId="11" borderId="6" xfId="0" applyFont="1" applyFill="1" applyBorder="1" applyAlignment="1" applyProtection="1">
      <alignment horizontal="center" vertical="center" wrapText="1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3" fillId="11" borderId="21" xfId="0" applyNumberFormat="1" applyFont="1" applyFill="1" applyBorder="1" applyAlignment="1" applyProtection="1">
      <alignment horizontal="center" vertical="center"/>
      <protection hidden="1"/>
    </xf>
    <xf numFmtId="3" fontId="3" fillId="11" borderId="6" xfId="0" applyNumberFormat="1" applyFont="1" applyFill="1" applyBorder="1" applyAlignment="1" applyProtection="1">
      <alignment horizontal="center" vertical="center"/>
      <protection hidden="1"/>
    </xf>
    <xf numFmtId="0" fontId="3" fillId="11" borderId="21" xfId="0" applyFont="1" applyFill="1" applyBorder="1" applyAlignment="1" applyProtection="1">
      <alignment horizontal="center" vertical="center"/>
      <protection hidden="1"/>
    </xf>
    <xf numFmtId="0" fontId="3" fillId="11" borderId="6" xfId="0" applyFont="1" applyFill="1" applyBorder="1" applyAlignment="1" applyProtection="1">
      <alignment horizontal="center" vertical="center"/>
      <protection hidden="1"/>
    </xf>
    <xf numFmtId="49" fontId="5" fillId="12" borderId="21" xfId="0" applyNumberFormat="1" applyFont="1" applyFill="1" applyBorder="1" applyAlignment="1" applyProtection="1">
      <alignment horizontal="center" vertical="center"/>
      <protection hidden="1"/>
    </xf>
    <xf numFmtId="49" fontId="5" fillId="12" borderId="6" xfId="0" applyNumberFormat="1" applyFont="1" applyFill="1" applyBorder="1" applyAlignment="1" applyProtection="1">
      <alignment horizontal="center" vertical="center"/>
      <protection hidden="1"/>
    </xf>
    <xf numFmtId="0" fontId="5" fillId="12" borderId="21" xfId="0" applyFont="1" applyFill="1" applyBorder="1" applyAlignment="1" applyProtection="1">
      <alignment horizontal="center" vertical="center"/>
      <protection hidden="1"/>
    </xf>
    <xf numFmtId="0" fontId="5" fillId="12" borderId="6" xfId="0" applyFont="1" applyFill="1" applyBorder="1" applyAlignment="1" applyProtection="1">
      <alignment horizontal="center" vertical="center"/>
      <protection hidden="1"/>
    </xf>
    <xf numFmtId="0" fontId="3" fillId="11" borderId="11" xfId="0" applyFont="1" applyFill="1" applyBorder="1" applyAlignment="1" applyProtection="1">
      <alignment horizontal="center" vertical="center" wrapText="1"/>
      <protection hidden="1"/>
    </xf>
    <xf numFmtId="0" fontId="3" fillId="11" borderId="19" xfId="0" applyFont="1" applyFill="1" applyBorder="1" applyAlignment="1" applyProtection="1">
      <alignment horizontal="center" vertical="center" wrapText="1"/>
      <protection hidden="1"/>
    </xf>
    <xf numFmtId="0" fontId="3" fillId="11" borderId="20" xfId="0" applyFont="1" applyFill="1" applyBorder="1" applyAlignment="1" applyProtection="1">
      <alignment horizontal="center" vertical="center" wrapText="1"/>
      <protection hidden="1"/>
    </xf>
    <xf numFmtId="0" fontId="3" fillId="11" borderId="8" xfId="0" applyFont="1" applyFill="1" applyBorder="1" applyAlignment="1" applyProtection="1">
      <alignment horizontal="center" vertical="center" wrapText="1"/>
      <protection hidden="1"/>
    </xf>
    <xf numFmtId="3" fontId="3" fillId="11" borderId="21" xfId="0" applyNumberFormat="1" applyFont="1" applyFill="1" applyBorder="1" applyAlignment="1" applyProtection="1">
      <alignment horizontal="center" vertical="center" wrapText="1"/>
      <protection hidden="1"/>
    </xf>
    <xf numFmtId="3" fontId="3" fillId="11" borderId="6" xfId="0" applyNumberFormat="1" applyFont="1" applyFill="1" applyBorder="1" applyAlignment="1" applyProtection="1">
      <alignment horizontal="center" vertical="center" wrapText="1"/>
      <protection hidden="1"/>
    </xf>
    <xf numFmtId="3" fontId="5" fillId="12" borderId="21" xfId="0" applyNumberFormat="1" applyFont="1" applyFill="1" applyBorder="1" applyAlignment="1" applyProtection="1">
      <alignment horizontal="center" vertical="center" wrapText="1"/>
      <protection hidden="1"/>
    </xf>
    <xf numFmtId="3" fontId="5" fillId="12" borderId="6" xfId="0" applyNumberFormat="1" applyFont="1" applyFill="1" applyBorder="1" applyAlignment="1" applyProtection="1">
      <alignment horizontal="center" vertical="center" wrapText="1"/>
      <protection hidden="1"/>
    </xf>
    <xf numFmtId="3" fontId="3" fillId="11" borderId="25" xfId="0" applyNumberFormat="1" applyFont="1" applyFill="1" applyBorder="1" applyAlignment="1" applyProtection="1">
      <alignment horizontal="center" vertical="center"/>
      <protection hidden="1"/>
    </xf>
    <xf numFmtId="3" fontId="3" fillId="11" borderId="26" xfId="0" applyNumberFormat="1" applyFont="1" applyFill="1" applyBorder="1" applyAlignment="1" applyProtection="1">
      <alignment horizontal="center" vertical="center"/>
      <protection hidden="1"/>
    </xf>
    <xf numFmtId="49" fontId="8" fillId="0" borderId="1" xfId="0" applyNumberFormat="1" applyFont="1" applyBorder="1" applyAlignment="1" applyProtection="1">
      <alignment horizontal="center" vertical="center"/>
      <protection hidden="1"/>
    </xf>
    <xf numFmtId="49" fontId="8" fillId="0" borderId="2" xfId="0" applyNumberFormat="1" applyFont="1" applyBorder="1" applyAlignment="1" applyProtection="1">
      <alignment horizontal="center" vertical="center"/>
      <protection hidden="1"/>
    </xf>
    <xf numFmtId="49" fontId="8" fillId="0" borderId="3" xfId="0" applyNumberFormat="1" applyFont="1" applyBorder="1" applyAlignment="1" applyProtection="1">
      <alignment horizontal="center" vertical="center"/>
      <protection hidden="1"/>
    </xf>
    <xf numFmtId="49" fontId="9" fillId="0" borderId="14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/>
      <protection hidden="1"/>
    </xf>
    <xf numFmtId="49" fontId="8" fillId="0" borderId="10" xfId="0" applyNumberFormat="1" applyFont="1" applyBorder="1" applyAlignment="1" applyProtection="1">
      <alignment horizontal="center" vertical="center" wrapText="1"/>
      <protection hidden="1"/>
    </xf>
    <xf numFmtId="49" fontId="8" fillId="0" borderId="17" xfId="0" applyNumberFormat="1" applyFont="1" applyBorder="1" applyAlignment="1" applyProtection="1">
      <alignment horizontal="center" vertical="center" wrapText="1"/>
      <protection hidden="1"/>
    </xf>
    <xf numFmtId="49" fontId="8" fillId="0" borderId="27" xfId="0" applyNumberFormat="1" applyFont="1" applyBorder="1" applyAlignment="1" applyProtection="1">
      <alignment horizontal="center" vertical="center" wrapText="1"/>
      <protection hidden="1"/>
    </xf>
    <xf numFmtId="0" fontId="3" fillId="11" borderId="25" xfId="0" applyFont="1" applyFill="1" applyBorder="1" applyAlignment="1" applyProtection="1">
      <alignment horizontal="center" vertical="center" wrapText="1"/>
      <protection hidden="1"/>
    </xf>
    <xf numFmtId="0" fontId="3" fillId="11" borderId="26" xfId="0" applyFont="1" applyFill="1" applyBorder="1" applyAlignment="1" applyProtection="1">
      <alignment horizontal="center" vertical="center" wrapText="1"/>
      <protection hidden="1"/>
    </xf>
    <xf numFmtId="49" fontId="5" fillId="12" borderId="20" xfId="0" applyNumberFormat="1" applyFont="1" applyFill="1" applyBorder="1" applyAlignment="1" applyProtection="1">
      <alignment horizontal="center" vertical="center" wrapText="1"/>
      <protection hidden="1"/>
    </xf>
    <xf numFmtId="49" fontId="5" fillId="12" borderId="8" xfId="0" applyNumberFormat="1" applyFont="1" applyFill="1" applyBorder="1" applyAlignment="1" applyProtection="1">
      <alignment horizontal="center" vertical="center" wrapText="1"/>
      <protection hidden="1"/>
    </xf>
    <xf numFmtId="3" fontId="5" fillId="12" borderId="25" xfId="0" applyNumberFormat="1" applyFont="1" applyFill="1" applyBorder="1" applyAlignment="1" applyProtection="1">
      <alignment horizontal="center" vertical="center" wrapText="1"/>
      <protection hidden="1"/>
    </xf>
    <xf numFmtId="3" fontId="5" fillId="12" borderId="26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0" applyFont="1" applyBorder="1" applyAlignment="1" applyProtection="1">
      <alignment horizontal="center" vertical="center" readingOrder="2"/>
      <protection locked="0"/>
    </xf>
    <xf numFmtId="0" fontId="10" fillId="0" borderId="0" xfId="0" applyFont="1" applyAlignment="1" applyProtection="1">
      <alignment horizontal="center" vertical="center" readingOrder="2"/>
      <protection locked="0"/>
    </xf>
    <xf numFmtId="0" fontId="1" fillId="0" borderId="0" xfId="0" applyFont="1" applyAlignment="1" applyProtection="1">
      <alignment horizontal="center" vertical="center" readingOrder="2"/>
      <protection locked="0"/>
    </xf>
    <xf numFmtId="0" fontId="16" fillId="0" borderId="0" xfId="0" applyFont="1" applyAlignment="1" applyProtection="1">
      <alignment horizontal="center" vertical="center" readingOrder="2"/>
      <protection locked="0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8" xfId="0" applyFont="1" applyBorder="1" applyAlignment="1" applyProtection="1">
      <alignment horizontal="center" vertical="center" readingOrder="2"/>
      <protection hidden="1"/>
    </xf>
    <xf numFmtId="0" fontId="1" fillId="0" borderId="14" xfId="0" applyFont="1" applyBorder="1" applyAlignment="1" applyProtection="1">
      <alignment horizontal="center" vertical="center" readingOrder="2"/>
      <protection hidden="1"/>
    </xf>
    <xf numFmtId="0" fontId="1" fillId="0" borderId="12" xfId="0" applyFont="1" applyBorder="1" applyAlignment="1" applyProtection="1">
      <alignment horizontal="center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locked="0"/>
    </xf>
    <xf numFmtId="0" fontId="1" fillId="0" borderId="9" xfId="0" applyFont="1" applyBorder="1" applyAlignment="1" applyProtection="1">
      <alignment horizontal="center" vertical="center" readingOrder="2"/>
      <protection locked="0"/>
    </xf>
    <xf numFmtId="0" fontId="10" fillId="10" borderId="13" xfId="0" applyFont="1" applyFill="1" applyBorder="1" applyAlignment="1" applyProtection="1">
      <alignment horizontal="center" vertical="center" readingOrder="2"/>
      <protection hidden="1"/>
    </xf>
    <xf numFmtId="0" fontId="10" fillId="10" borderId="14" xfId="0" applyFont="1" applyFill="1" applyBorder="1" applyAlignment="1" applyProtection="1">
      <alignment horizontal="center" vertical="center" readingOrder="2"/>
      <protection hidden="1"/>
    </xf>
    <xf numFmtId="3" fontId="11" fillId="10" borderId="14" xfId="0" applyNumberFormat="1" applyFont="1" applyFill="1" applyBorder="1" applyAlignment="1" applyProtection="1">
      <alignment horizontal="center" vertical="center" readingOrder="2"/>
      <protection hidden="1"/>
    </xf>
    <xf numFmtId="3" fontId="11" fillId="10" borderId="12" xfId="0" applyNumberFormat="1" applyFont="1" applyFill="1" applyBorder="1" applyAlignment="1" applyProtection="1">
      <alignment horizontal="center" vertical="center" readingOrder="2"/>
      <protection hidden="1"/>
    </xf>
    <xf numFmtId="0" fontId="1" fillId="0" borderId="17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right" vertical="center" readingOrder="2"/>
      <protection hidden="1"/>
    </xf>
    <xf numFmtId="0" fontId="1" fillId="7" borderId="23" xfId="0" applyFont="1" applyFill="1" applyBorder="1" applyAlignment="1" applyProtection="1">
      <alignment horizontal="center" vertical="center" readingOrder="2"/>
      <protection hidden="1"/>
    </xf>
    <xf numFmtId="0" fontId="1" fillId="7" borderId="15" xfId="0" applyFont="1" applyFill="1" applyBorder="1" applyAlignment="1" applyProtection="1">
      <alignment horizontal="center" vertical="center" readingOrder="2"/>
      <protection hidden="1"/>
    </xf>
    <xf numFmtId="0" fontId="10" fillId="10" borderId="9" xfId="0" applyFont="1" applyFill="1" applyBorder="1" applyAlignment="1" applyProtection="1">
      <alignment horizontal="center" vertical="center" readingOrder="2"/>
      <protection hidden="1"/>
    </xf>
    <xf numFmtId="0" fontId="1" fillId="0" borderId="13" xfId="0" applyFont="1" applyBorder="1" applyAlignment="1" applyProtection="1">
      <alignment horizontal="right" vertical="center" readingOrder="2"/>
      <protection hidden="1"/>
    </xf>
    <xf numFmtId="0" fontId="1" fillId="0" borderId="14" xfId="0" applyFont="1" applyBorder="1" applyAlignment="1" applyProtection="1">
      <alignment horizontal="right" vertical="center" readingOrder="2"/>
      <protection hidden="1"/>
    </xf>
    <xf numFmtId="0" fontId="10" fillId="10" borderId="10" xfId="0" applyFont="1" applyFill="1" applyBorder="1" applyAlignment="1" applyProtection="1">
      <alignment horizontal="center" vertical="center" readingOrder="2"/>
      <protection hidden="1"/>
    </xf>
    <xf numFmtId="0" fontId="1" fillId="0" borderId="10" xfId="0" applyFont="1" applyBorder="1" applyAlignment="1" applyProtection="1">
      <alignment horizontal="right" vertical="center" readingOrder="2"/>
      <protection hidden="1"/>
    </xf>
    <xf numFmtId="0" fontId="1" fillId="0" borderId="9" xfId="0" applyFont="1" applyBorder="1" applyAlignment="1" applyProtection="1">
      <alignment horizontal="right" vertical="center" readingOrder="2"/>
      <protection hidden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11"/>
  <sheetViews>
    <sheetView rightToLeft="1" workbookViewId="0">
      <selection activeCell="A2" sqref="A2:P2"/>
    </sheetView>
  </sheetViews>
  <sheetFormatPr defaultColWidth="9.140625" defaultRowHeight="22.5" x14ac:dyDescent="0.55000000000000004"/>
  <cols>
    <col min="1" max="1" width="11.7109375" style="3" bestFit="1" customWidth="1"/>
    <col min="2" max="2" width="13.42578125" style="3" customWidth="1"/>
    <col min="3" max="3" width="21.5703125" style="3" customWidth="1"/>
    <col min="4" max="4" width="15" style="3" customWidth="1"/>
    <col min="5" max="5" width="16.5703125" style="3" customWidth="1"/>
    <col min="6" max="6" width="10.7109375" style="1" customWidth="1"/>
    <col min="7" max="7" width="12.42578125" style="3" customWidth="1"/>
    <col min="8" max="8" width="12" style="3" customWidth="1"/>
    <col min="9" max="9" width="12" style="4" customWidth="1"/>
    <col min="10" max="10" width="27.5703125" style="1" customWidth="1"/>
    <col min="11" max="11" width="21.140625" style="1" customWidth="1"/>
    <col min="12" max="12" width="17.5703125" style="4" customWidth="1"/>
    <col min="13" max="13" width="15.7109375" style="4" customWidth="1"/>
    <col min="14" max="14" width="15.7109375" style="1" customWidth="1"/>
    <col min="15" max="15" width="14.5703125" style="1" customWidth="1"/>
    <col min="16" max="16" width="15.42578125" style="1" customWidth="1"/>
    <col min="17" max="16384" width="9.140625" style="2"/>
  </cols>
  <sheetData>
    <row r="1" spans="1:16" ht="41.25" customHeight="1" x14ac:dyDescent="0.75">
      <c r="A1" s="62" t="s">
        <v>108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38.25" customHeight="1" thickBot="1" x14ac:dyDescent="0.8">
      <c r="A2" s="62" t="s">
        <v>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48" customHeight="1" thickBot="1" x14ac:dyDescent="0.6">
      <c r="A3" s="63" t="s">
        <v>97</v>
      </c>
      <c r="B3" s="64"/>
      <c r="C3" s="64"/>
      <c r="D3" s="64"/>
      <c r="E3" s="64"/>
      <c r="F3" s="64"/>
      <c r="G3" s="64"/>
      <c r="H3" s="65" t="s">
        <v>79</v>
      </c>
      <c r="I3" s="66"/>
      <c r="J3" s="66"/>
      <c r="K3" s="66"/>
      <c r="L3" s="66"/>
      <c r="M3" s="66"/>
      <c r="N3" s="66"/>
      <c r="O3" s="66"/>
      <c r="P3" s="67"/>
    </row>
    <row r="4" spans="1:16" ht="48" x14ac:dyDescent="0.55000000000000004">
      <c r="A4" s="14" t="s">
        <v>66</v>
      </c>
      <c r="B4" s="14" t="s">
        <v>7</v>
      </c>
      <c r="C4" s="14" t="s">
        <v>35</v>
      </c>
      <c r="D4" s="14" t="s">
        <v>38</v>
      </c>
      <c r="E4" s="14" t="s">
        <v>39</v>
      </c>
      <c r="F4" s="15" t="s">
        <v>59</v>
      </c>
      <c r="G4" s="16" t="s">
        <v>37</v>
      </c>
      <c r="H4" s="16" t="s">
        <v>49</v>
      </c>
      <c r="I4" s="17" t="s">
        <v>46</v>
      </c>
      <c r="J4" s="16" t="s">
        <v>36</v>
      </c>
      <c r="K4" s="15" t="s">
        <v>44</v>
      </c>
      <c r="L4" s="17" t="s">
        <v>42</v>
      </c>
      <c r="M4" s="17" t="s">
        <v>43</v>
      </c>
      <c r="N4" s="15" t="s">
        <v>45</v>
      </c>
      <c r="O4" s="16" t="s">
        <v>40</v>
      </c>
      <c r="P4" s="18" t="s">
        <v>41</v>
      </c>
    </row>
    <row r="5" spans="1:16" ht="43.5" customHeight="1" x14ac:dyDescent="0.55000000000000004">
      <c r="A5" s="7">
        <v>11</v>
      </c>
      <c r="B5" s="5" t="s">
        <v>103</v>
      </c>
      <c r="C5" s="5" t="s">
        <v>99</v>
      </c>
      <c r="D5" s="5" t="s">
        <v>8</v>
      </c>
      <c r="E5" s="5" t="s">
        <v>91</v>
      </c>
      <c r="F5" s="6">
        <v>0</v>
      </c>
      <c r="G5" s="5" t="s">
        <v>24</v>
      </c>
      <c r="H5" s="5" t="s">
        <v>50</v>
      </c>
      <c r="I5" s="7">
        <v>0</v>
      </c>
      <c r="J5" s="6">
        <v>0</v>
      </c>
      <c r="K5" s="6">
        <v>0</v>
      </c>
      <c r="L5" s="7">
        <v>0</v>
      </c>
      <c r="M5" s="7">
        <v>0</v>
      </c>
      <c r="N5" s="6">
        <v>0</v>
      </c>
      <c r="O5" s="6">
        <v>0</v>
      </c>
      <c r="P5" s="8">
        <v>0</v>
      </c>
    </row>
    <row r="6" spans="1:16" ht="43.5" customHeight="1" x14ac:dyDescent="0.55000000000000004">
      <c r="A6" s="7">
        <v>12</v>
      </c>
      <c r="B6" s="5" t="s">
        <v>104</v>
      </c>
      <c r="C6" s="5" t="s">
        <v>98</v>
      </c>
      <c r="D6" s="5" t="s">
        <v>21</v>
      </c>
      <c r="E6" s="5" t="s">
        <v>94</v>
      </c>
      <c r="F6" s="6" t="s">
        <v>24</v>
      </c>
      <c r="G6" s="5" t="s">
        <v>24</v>
      </c>
      <c r="H6" s="5" t="s">
        <v>50</v>
      </c>
      <c r="I6" s="7">
        <v>0</v>
      </c>
      <c r="J6" s="6">
        <v>0</v>
      </c>
      <c r="K6" s="6">
        <v>0</v>
      </c>
      <c r="L6" s="7">
        <v>0</v>
      </c>
      <c r="M6" s="7">
        <v>0</v>
      </c>
      <c r="N6" s="6">
        <v>0</v>
      </c>
      <c r="O6" s="6">
        <v>0</v>
      </c>
      <c r="P6" s="8">
        <v>0</v>
      </c>
    </row>
    <row r="7" spans="1:16" ht="43.5" customHeight="1" x14ac:dyDescent="0.55000000000000004">
      <c r="A7" s="7">
        <v>13</v>
      </c>
      <c r="B7" s="5" t="s">
        <v>105</v>
      </c>
      <c r="C7" s="5" t="s">
        <v>100</v>
      </c>
      <c r="D7" s="5" t="s">
        <v>88</v>
      </c>
      <c r="E7" s="5" t="s">
        <v>92</v>
      </c>
      <c r="F7" s="6" t="s">
        <v>24</v>
      </c>
      <c r="G7" s="5" t="s">
        <v>24</v>
      </c>
      <c r="H7" s="5" t="s">
        <v>50</v>
      </c>
      <c r="I7" s="7">
        <v>0</v>
      </c>
      <c r="J7" s="6">
        <v>0</v>
      </c>
      <c r="K7" s="6">
        <v>0</v>
      </c>
      <c r="L7" s="7">
        <v>0</v>
      </c>
      <c r="M7" s="7">
        <v>0</v>
      </c>
      <c r="N7" s="6">
        <v>0</v>
      </c>
      <c r="O7" s="6">
        <v>0</v>
      </c>
      <c r="P7" s="8">
        <v>0</v>
      </c>
    </row>
    <row r="8" spans="1:16" ht="43.5" customHeight="1" x14ac:dyDescent="0.55000000000000004">
      <c r="A8" s="7">
        <v>14</v>
      </c>
      <c r="B8" s="5" t="s">
        <v>106</v>
      </c>
      <c r="C8" s="5" t="s">
        <v>101</v>
      </c>
      <c r="D8" s="5" t="s">
        <v>89</v>
      </c>
      <c r="E8" s="5" t="s">
        <v>93</v>
      </c>
      <c r="F8" s="6">
        <v>0</v>
      </c>
      <c r="G8" s="5" t="s">
        <v>24</v>
      </c>
      <c r="H8" s="5" t="s">
        <v>50</v>
      </c>
      <c r="I8" s="7">
        <v>0</v>
      </c>
      <c r="J8" s="6">
        <v>0</v>
      </c>
      <c r="K8" s="6">
        <v>0</v>
      </c>
      <c r="L8" s="7">
        <v>0</v>
      </c>
      <c r="M8" s="7">
        <v>0</v>
      </c>
      <c r="N8" s="6">
        <v>0</v>
      </c>
      <c r="O8" s="6">
        <v>0</v>
      </c>
      <c r="P8" s="8">
        <v>0</v>
      </c>
    </row>
    <row r="9" spans="1:16" ht="43.5" customHeight="1" thickBot="1" x14ac:dyDescent="0.6">
      <c r="A9" s="10">
        <v>15</v>
      </c>
      <c r="B9" s="5" t="s">
        <v>107</v>
      </c>
      <c r="C9" s="5" t="s">
        <v>102</v>
      </c>
      <c r="D9" s="9" t="s">
        <v>90</v>
      </c>
      <c r="E9" s="9" t="s">
        <v>95</v>
      </c>
      <c r="F9" s="11">
        <v>0</v>
      </c>
      <c r="G9" s="9" t="s">
        <v>24</v>
      </c>
      <c r="H9" s="9" t="s">
        <v>50</v>
      </c>
      <c r="I9" s="10">
        <v>0</v>
      </c>
      <c r="J9" s="11">
        <v>0</v>
      </c>
      <c r="K9" s="11">
        <v>0</v>
      </c>
      <c r="L9" s="10">
        <v>0</v>
      </c>
      <c r="M9" s="10">
        <v>0</v>
      </c>
      <c r="N9" s="11">
        <v>0</v>
      </c>
      <c r="O9" s="11">
        <v>0</v>
      </c>
      <c r="P9" s="12">
        <v>0</v>
      </c>
    </row>
    <row r="11" spans="1:16" ht="58.5" customHeight="1" x14ac:dyDescent="0.55000000000000004">
      <c r="A11" s="68" t="s">
        <v>82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</sheetData>
  <mergeCells count="5">
    <mergeCell ref="A2:P2"/>
    <mergeCell ref="A3:G3"/>
    <mergeCell ref="H3:P3"/>
    <mergeCell ref="A1:P1"/>
    <mergeCell ref="A11:P11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20"/>
  <sheetViews>
    <sheetView rightToLeft="1" tabSelected="1" view="pageBreakPreview" zoomScale="90" zoomScaleNormal="55" zoomScaleSheetLayoutView="90" workbookViewId="0">
      <pane xSplit="3" ySplit="4" topLeftCell="D5" activePane="bottomRight" state="frozen"/>
      <selection pane="topRight" activeCell="G1" sqref="G1"/>
      <selection pane="bottomLeft" activeCell="A6" sqref="A6"/>
      <selection pane="bottomRight" activeCell="H6" sqref="H6"/>
    </sheetView>
  </sheetViews>
  <sheetFormatPr defaultColWidth="9.140625" defaultRowHeight="12.75" x14ac:dyDescent="0.2"/>
  <cols>
    <col min="1" max="1" width="9.140625" style="48" customWidth="1"/>
    <col min="2" max="2" width="10.7109375" style="49" customWidth="1"/>
    <col min="3" max="3" width="17.140625" style="50" customWidth="1"/>
    <col min="4" max="4" width="17" style="51" customWidth="1"/>
    <col min="5" max="5" width="19.42578125" style="51" hidden="1" customWidth="1"/>
    <col min="6" max="6" width="17" style="36" customWidth="1"/>
    <col min="7" max="7" width="13" style="51" customWidth="1"/>
    <col min="8" max="9" width="14.42578125" style="36" customWidth="1"/>
    <col min="10" max="10" width="15.28515625" style="51" customWidth="1"/>
    <col min="11" max="14" width="13.42578125" style="51" customWidth="1"/>
    <col min="15" max="15" width="18.140625" style="36" customWidth="1"/>
    <col min="16" max="16" width="17.28515625" style="36" customWidth="1"/>
    <col min="17" max="17" width="17.7109375" style="36" customWidth="1"/>
    <col min="18" max="18" width="17.140625" style="36" customWidth="1"/>
    <col min="19" max="19" width="16.28515625" style="36" customWidth="1"/>
    <col min="20" max="20" width="18.42578125" style="36" customWidth="1"/>
    <col min="21" max="21" width="16.85546875" style="36" customWidth="1"/>
    <col min="22" max="22" width="15.5703125" style="36" customWidth="1"/>
    <col min="23" max="23" width="19.7109375" style="36" customWidth="1"/>
    <col min="24" max="16384" width="9.140625" style="36"/>
  </cols>
  <sheetData>
    <row r="1" spans="1:23" ht="60.75" customHeight="1" thickBot="1" x14ac:dyDescent="0.25">
      <c r="A1" s="109" t="s">
        <v>109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 t="str">
        <f>'جدول ورود اطلاعات پرسنل'!H5</f>
        <v>فروردین</v>
      </c>
      <c r="U1" s="108"/>
      <c r="V1" s="107" t="s">
        <v>55</v>
      </c>
      <c r="W1" s="107"/>
    </row>
    <row r="2" spans="1:23" ht="51.75" customHeight="1" thickBot="1" x14ac:dyDescent="0.25">
      <c r="A2" s="104" t="s">
        <v>54</v>
      </c>
      <c r="B2" s="105"/>
      <c r="C2" s="105"/>
      <c r="D2" s="105"/>
      <c r="E2" s="106"/>
      <c r="F2" s="70" t="s">
        <v>23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  <c r="S2" s="70" t="s">
        <v>22</v>
      </c>
      <c r="T2" s="71"/>
      <c r="U2" s="71"/>
      <c r="V2" s="72"/>
      <c r="W2" s="110" t="s">
        <v>51</v>
      </c>
    </row>
    <row r="3" spans="1:23" ht="33" customHeight="1" x14ac:dyDescent="0.2">
      <c r="A3" s="115" t="s">
        <v>66</v>
      </c>
      <c r="B3" s="90" t="s">
        <v>7</v>
      </c>
      <c r="C3" s="92" t="s">
        <v>3</v>
      </c>
      <c r="D3" s="100" t="s">
        <v>48</v>
      </c>
      <c r="E3" s="117" t="s">
        <v>58</v>
      </c>
      <c r="F3" s="96" t="s">
        <v>0</v>
      </c>
      <c r="G3" s="98" t="s">
        <v>14</v>
      </c>
      <c r="H3" s="83" t="s">
        <v>52</v>
      </c>
      <c r="I3" s="113" t="s">
        <v>53</v>
      </c>
      <c r="J3" s="98" t="s">
        <v>18</v>
      </c>
      <c r="K3" s="86" t="s">
        <v>17</v>
      </c>
      <c r="L3" s="102" t="s">
        <v>47</v>
      </c>
      <c r="M3" s="102" t="s">
        <v>83</v>
      </c>
      <c r="N3" s="102" t="s">
        <v>84</v>
      </c>
      <c r="O3" s="88" t="s">
        <v>1</v>
      </c>
      <c r="P3" s="83" t="s">
        <v>31</v>
      </c>
      <c r="Q3" s="83" t="s">
        <v>16</v>
      </c>
      <c r="R3" s="94" t="s">
        <v>2</v>
      </c>
      <c r="S3" s="73" t="s">
        <v>60</v>
      </c>
      <c r="T3" s="75" t="s">
        <v>61</v>
      </c>
      <c r="U3" s="75" t="s">
        <v>57</v>
      </c>
      <c r="V3" s="77" t="s">
        <v>56</v>
      </c>
      <c r="W3" s="111"/>
    </row>
    <row r="4" spans="1:23" ht="40.5" customHeight="1" x14ac:dyDescent="0.2">
      <c r="A4" s="116"/>
      <c r="B4" s="91"/>
      <c r="C4" s="93"/>
      <c r="D4" s="101"/>
      <c r="E4" s="118"/>
      <c r="F4" s="97"/>
      <c r="G4" s="99"/>
      <c r="H4" s="84"/>
      <c r="I4" s="114"/>
      <c r="J4" s="99"/>
      <c r="K4" s="87"/>
      <c r="L4" s="103"/>
      <c r="M4" s="103"/>
      <c r="N4" s="103"/>
      <c r="O4" s="89"/>
      <c r="P4" s="84"/>
      <c r="Q4" s="84"/>
      <c r="R4" s="95"/>
      <c r="S4" s="74"/>
      <c r="T4" s="76"/>
      <c r="U4" s="76"/>
      <c r="V4" s="78"/>
      <c r="W4" s="112"/>
    </row>
    <row r="5" spans="1:23" ht="76.5" customHeight="1" x14ac:dyDescent="0.2">
      <c r="A5" s="37">
        <f>'جدول ورود اطلاعات پرسنل'!A5</f>
        <v>11</v>
      </c>
      <c r="B5" s="38" t="str">
        <f>'جدول ورود اطلاعات پرسنل'!B5</f>
        <v>نام 1</v>
      </c>
      <c r="C5" s="38" t="str">
        <f>'جدول ورود اطلاعات پرسنل'!C5</f>
        <v>نام خانوادگی 1</v>
      </c>
      <c r="D5" s="39">
        <f>('جدول ورود اطلاعات پرسنل'!J5*1.22)+230026</f>
        <v>230026</v>
      </c>
      <c r="E5" s="40">
        <f>D5*30</f>
        <v>6900780</v>
      </c>
      <c r="F5" s="41">
        <f>((7166184*'جدول ورود اطلاعات پرسنل'!G5)/31*'جدول ورود اطلاعات پرسنل'!I5)</f>
        <v>0</v>
      </c>
      <c r="G5" s="39">
        <f>IF('جدول ورود اطلاعات پرسنل'!K5&gt;=365,(2100000/31)*'جدول ورود اطلاعات پرسنل'!I5,0)</f>
        <v>0</v>
      </c>
      <c r="H5" s="39">
        <f>((((E5+G5)/220)*1.4)*'جدول ورود اطلاعات پرسنل'!L5+(((E5+G5)/13200)*1.4)*'جدول ورود اطلاعات پرسنل'!M5)</f>
        <v>0</v>
      </c>
      <c r="I5" s="39">
        <f>IF('جدول ورود اطلاعات پرسنل'!N5&gt;=0,((D5+70000)*'جدول ورود اطلاعات پرسنل'!N5),0)</f>
        <v>0</v>
      </c>
      <c r="J5" s="39">
        <f>IF('جدول ورود اطلاعات پرسنل'!I5&gt;=30,14000000,(14000000/31)*'جدول ورود اطلاعات پرسنل'!I5)</f>
        <v>0</v>
      </c>
      <c r="K5" s="39">
        <f>IF('جدول ورود اطلاعات پرسنل'!I5&gt;=30,9000000,(9000000/31)*'جدول ورود اطلاعات پرسنل'!I5)</f>
        <v>0</v>
      </c>
      <c r="L5" s="39">
        <f>IF('جدول ورود اطلاعات پرسنل'!F5=1,(5000000/31)*'جدول ورود اطلاعات پرسنل'!I5,0)</f>
        <v>0</v>
      </c>
      <c r="M5" s="39">
        <f>'جدول ورود اطلاعات پرسنل'!O5</f>
        <v>0</v>
      </c>
      <c r="N5" s="39">
        <f>'جدول ورود اطلاعات پرسنل'!P5</f>
        <v>0</v>
      </c>
      <c r="O5" s="39">
        <f>D5*'جدول ورود اطلاعات پرسنل'!I5</f>
        <v>0</v>
      </c>
      <c r="P5" s="42">
        <f>O5+J5+K5+H5+G5+L5+M5+N5</f>
        <v>0</v>
      </c>
      <c r="Q5" s="43">
        <f>F5+G5+H5+J5+O5+K5+L5+M5+N5</f>
        <v>0</v>
      </c>
      <c r="R5" s="44">
        <f>O5+K5+J5+H5+G5+F5+L5+I5+M5+N5</f>
        <v>0</v>
      </c>
      <c r="S5" s="41">
        <f>P5*7%</f>
        <v>0</v>
      </c>
      <c r="T5" s="39">
        <f>IF(Q5&lt;=120000000,0,+IF(Q5&lt;=165000000,(Q5-120000000)*10%,+IF(Q5&lt;=270000000,4500000+(Q5-165000000)*15%,+IF(Q5&lt;=400000000,20250000+(Q5-270000000)*20%,+IF(Q5&gt;400000000,46250000+(Q5-400000000)*30%)))))</f>
        <v>0</v>
      </c>
      <c r="U5" s="45">
        <v>0</v>
      </c>
      <c r="V5" s="45">
        <v>0</v>
      </c>
      <c r="W5" s="42">
        <f>R5-(S5+T5+U5+V5)</f>
        <v>0</v>
      </c>
    </row>
    <row r="6" spans="1:23" ht="76.5" customHeight="1" x14ac:dyDescent="0.2">
      <c r="A6" s="37">
        <f>'جدول ورود اطلاعات پرسنل'!A6</f>
        <v>12</v>
      </c>
      <c r="B6" s="38" t="str">
        <f>'جدول ورود اطلاعات پرسنل'!B6</f>
        <v>نام 2</v>
      </c>
      <c r="C6" s="38" t="str">
        <f>'جدول ورود اطلاعات پرسنل'!C6</f>
        <v>نام خانوادگی 2</v>
      </c>
      <c r="D6" s="39">
        <f>('جدول ورود اطلاعات پرسنل'!J6*1.22)+230026</f>
        <v>230026</v>
      </c>
      <c r="E6" s="40">
        <f t="shared" ref="E6:E9" si="0">D6*30</f>
        <v>6900780</v>
      </c>
      <c r="F6" s="41">
        <f>((7166184*'جدول ورود اطلاعات پرسنل'!G6)/31*'جدول ورود اطلاعات پرسنل'!I6)</f>
        <v>0</v>
      </c>
      <c r="G6" s="39">
        <f>IF('جدول ورود اطلاعات پرسنل'!K6&gt;=365,(2100000/31)*'جدول ورود اطلاعات پرسنل'!I6,0)</f>
        <v>0</v>
      </c>
      <c r="H6" s="39">
        <f>((((E6+G6)/220)*1.4)*'جدول ورود اطلاعات پرسنل'!L6+(((E6+G6)/13200)*1.4)*'جدول ورود اطلاعات پرسنل'!M6)</f>
        <v>0</v>
      </c>
      <c r="I6" s="39">
        <f>IF('جدول ورود اطلاعات پرسنل'!N6&gt;=0,((D6+70000)*'جدول ورود اطلاعات پرسنل'!N6),0)</f>
        <v>0</v>
      </c>
      <c r="J6" s="39">
        <f>IF('جدول ورود اطلاعات پرسنل'!I6&gt;=30,14000000,(14000000/31)*'جدول ورود اطلاعات پرسنل'!I6)</f>
        <v>0</v>
      </c>
      <c r="K6" s="39">
        <f>IF('جدول ورود اطلاعات پرسنل'!I6&gt;=30,9000000,(9000000/31)*'جدول ورود اطلاعات پرسنل'!I6)</f>
        <v>0</v>
      </c>
      <c r="L6" s="39">
        <f>IF('جدول ورود اطلاعات پرسنل'!F6=1,(5000000/31)*'جدول ورود اطلاعات پرسنل'!I6,0)</f>
        <v>0</v>
      </c>
      <c r="M6" s="39">
        <f>'جدول ورود اطلاعات پرسنل'!O6</f>
        <v>0</v>
      </c>
      <c r="N6" s="39">
        <f>'جدول ورود اطلاعات پرسنل'!P6</f>
        <v>0</v>
      </c>
      <c r="O6" s="39">
        <f>D6*'جدول ورود اطلاعات پرسنل'!I6</f>
        <v>0</v>
      </c>
      <c r="P6" s="42">
        <f t="shared" ref="P6:P9" si="1">O6+J6+K6+H6+G6+L6+M6+N6</f>
        <v>0</v>
      </c>
      <c r="Q6" s="43">
        <f t="shared" ref="Q6:Q9" si="2">F6+G6+H6+J6+O6+K6+L6+M6+N6</f>
        <v>0</v>
      </c>
      <c r="R6" s="44">
        <f t="shared" ref="R6:R9" si="3">O6+K6+J6+H6+G6+F6+L6+I6+M6+N6</f>
        <v>0</v>
      </c>
      <c r="S6" s="41">
        <f t="shared" ref="S6:S9" si="4">P6*7%</f>
        <v>0</v>
      </c>
      <c r="T6" s="39">
        <f t="shared" ref="T6:T9" si="5">IF(Q6&lt;=120000000,0,+IF(Q6&lt;=165000000,(Q6-120000000)*10%,+IF(Q6&lt;=270000000,4500000+(Q6-165000000)*15%,+IF(Q6&lt;=400000000,20250000+(Q6-270000000)*20%,+IF(Q6&gt;400000000,46250000+(Q6-400000000)*30%)))))</f>
        <v>0</v>
      </c>
      <c r="U6" s="46">
        <v>0</v>
      </c>
      <c r="V6" s="45">
        <v>0</v>
      </c>
      <c r="W6" s="42">
        <f t="shared" ref="W6:W9" si="6">R6-(S6+T6+U6+V6)</f>
        <v>0</v>
      </c>
    </row>
    <row r="7" spans="1:23" ht="76.5" customHeight="1" x14ac:dyDescent="0.2">
      <c r="A7" s="37">
        <f>'جدول ورود اطلاعات پرسنل'!A7</f>
        <v>13</v>
      </c>
      <c r="B7" s="38" t="str">
        <f>'جدول ورود اطلاعات پرسنل'!B7</f>
        <v>نام 3</v>
      </c>
      <c r="C7" s="38" t="str">
        <f>'جدول ورود اطلاعات پرسنل'!C7</f>
        <v>نام خانوادگی 3</v>
      </c>
      <c r="D7" s="39">
        <f>('جدول ورود اطلاعات پرسنل'!J7*1.22)+230026</f>
        <v>230026</v>
      </c>
      <c r="E7" s="40">
        <f t="shared" si="0"/>
        <v>6900780</v>
      </c>
      <c r="F7" s="41">
        <f>((7166184*'جدول ورود اطلاعات پرسنل'!G7)/31*'جدول ورود اطلاعات پرسنل'!I7)</f>
        <v>0</v>
      </c>
      <c r="G7" s="39">
        <f>IF('جدول ورود اطلاعات پرسنل'!K7&gt;=365,(2100000/31)*'جدول ورود اطلاعات پرسنل'!I7,0)</f>
        <v>0</v>
      </c>
      <c r="H7" s="39">
        <f>((((E7+G7)/220)*1.4)*'جدول ورود اطلاعات پرسنل'!L7+(((E7+G7)/13200)*1.4)*'جدول ورود اطلاعات پرسنل'!M7)</f>
        <v>0</v>
      </c>
      <c r="I7" s="39">
        <f>IF('جدول ورود اطلاعات پرسنل'!N7&gt;=0,((D7+70000)*'جدول ورود اطلاعات پرسنل'!N7),0)</f>
        <v>0</v>
      </c>
      <c r="J7" s="39">
        <f>IF('جدول ورود اطلاعات پرسنل'!I7&gt;=30,14000000,(14000000/31)*'جدول ورود اطلاعات پرسنل'!I7)</f>
        <v>0</v>
      </c>
      <c r="K7" s="39">
        <f>IF('جدول ورود اطلاعات پرسنل'!I7&gt;=30,9000000,(9000000/31)*'جدول ورود اطلاعات پرسنل'!I7)</f>
        <v>0</v>
      </c>
      <c r="L7" s="39">
        <f>IF('جدول ورود اطلاعات پرسنل'!F7=1,(5000000/31)*'جدول ورود اطلاعات پرسنل'!I7,0)</f>
        <v>0</v>
      </c>
      <c r="M7" s="39">
        <f>'جدول ورود اطلاعات پرسنل'!O7</f>
        <v>0</v>
      </c>
      <c r="N7" s="39">
        <f>'جدول ورود اطلاعات پرسنل'!P7</f>
        <v>0</v>
      </c>
      <c r="O7" s="39">
        <f>D7*'جدول ورود اطلاعات پرسنل'!I7</f>
        <v>0</v>
      </c>
      <c r="P7" s="42">
        <f t="shared" si="1"/>
        <v>0</v>
      </c>
      <c r="Q7" s="43">
        <f t="shared" si="2"/>
        <v>0</v>
      </c>
      <c r="R7" s="44">
        <f t="shared" si="3"/>
        <v>0</v>
      </c>
      <c r="S7" s="41">
        <f t="shared" si="4"/>
        <v>0</v>
      </c>
      <c r="T7" s="39">
        <f t="shared" si="5"/>
        <v>0</v>
      </c>
      <c r="U7" s="46">
        <v>0</v>
      </c>
      <c r="V7" s="45">
        <v>0</v>
      </c>
      <c r="W7" s="42">
        <f t="shared" si="6"/>
        <v>0</v>
      </c>
    </row>
    <row r="8" spans="1:23" ht="76.5" customHeight="1" x14ac:dyDescent="0.2">
      <c r="A8" s="37">
        <f>'جدول ورود اطلاعات پرسنل'!A8</f>
        <v>14</v>
      </c>
      <c r="B8" s="38" t="str">
        <f>'جدول ورود اطلاعات پرسنل'!B8</f>
        <v>نام 4</v>
      </c>
      <c r="C8" s="38" t="str">
        <f>'جدول ورود اطلاعات پرسنل'!C8</f>
        <v>نام خانوادگی 4</v>
      </c>
      <c r="D8" s="39">
        <f>('جدول ورود اطلاعات پرسنل'!J8*1.22)+230026</f>
        <v>230026</v>
      </c>
      <c r="E8" s="40">
        <f t="shared" si="0"/>
        <v>6900780</v>
      </c>
      <c r="F8" s="41">
        <f>((7166184*'جدول ورود اطلاعات پرسنل'!G8)/31*'جدول ورود اطلاعات پرسنل'!I8)</f>
        <v>0</v>
      </c>
      <c r="G8" s="39">
        <f>IF('جدول ورود اطلاعات پرسنل'!K8&gt;=365,(2100000/31)*'جدول ورود اطلاعات پرسنل'!I8,0)</f>
        <v>0</v>
      </c>
      <c r="H8" s="39">
        <f>((((E8+G8)/220)*1.4)*'جدول ورود اطلاعات پرسنل'!L8+(((E8+G8)/13200)*1.4)*'جدول ورود اطلاعات پرسنل'!M8)</f>
        <v>0</v>
      </c>
      <c r="I8" s="39">
        <f>IF('جدول ورود اطلاعات پرسنل'!N8&gt;=0,((D8+70000)*'جدول ورود اطلاعات پرسنل'!N8),0)</f>
        <v>0</v>
      </c>
      <c r="J8" s="39">
        <f>IF('جدول ورود اطلاعات پرسنل'!I8&gt;=30,14000000,(14000000/31)*'جدول ورود اطلاعات پرسنل'!I8)</f>
        <v>0</v>
      </c>
      <c r="K8" s="39">
        <f>IF('جدول ورود اطلاعات پرسنل'!I8&gt;=30,9000000,(9000000/31)*'جدول ورود اطلاعات پرسنل'!I8)</f>
        <v>0</v>
      </c>
      <c r="L8" s="39">
        <f>IF('جدول ورود اطلاعات پرسنل'!F8=1,(5000000/31)*'جدول ورود اطلاعات پرسنل'!I8,0)</f>
        <v>0</v>
      </c>
      <c r="M8" s="39">
        <f>'جدول ورود اطلاعات پرسنل'!O8</f>
        <v>0</v>
      </c>
      <c r="N8" s="39">
        <f>'جدول ورود اطلاعات پرسنل'!P8</f>
        <v>0</v>
      </c>
      <c r="O8" s="39">
        <f>D8*'جدول ورود اطلاعات پرسنل'!I8</f>
        <v>0</v>
      </c>
      <c r="P8" s="42">
        <f t="shared" si="1"/>
        <v>0</v>
      </c>
      <c r="Q8" s="43">
        <f t="shared" si="2"/>
        <v>0</v>
      </c>
      <c r="R8" s="44">
        <f t="shared" si="3"/>
        <v>0</v>
      </c>
      <c r="S8" s="41">
        <f t="shared" si="4"/>
        <v>0</v>
      </c>
      <c r="T8" s="39">
        <f t="shared" si="5"/>
        <v>0</v>
      </c>
      <c r="U8" s="39">
        <v>0</v>
      </c>
      <c r="V8" s="45">
        <v>0</v>
      </c>
      <c r="W8" s="42">
        <f>R8-(S8+T8+U8+V8)</f>
        <v>0</v>
      </c>
    </row>
    <row r="9" spans="1:23" ht="76.5" customHeight="1" x14ac:dyDescent="0.2">
      <c r="A9" s="37">
        <f>'جدول ورود اطلاعات پرسنل'!A9</f>
        <v>15</v>
      </c>
      <c r="B9" s="38" t="str">
        <f>'جدول ورود اطلاعات پرسنل'!B9</f>
        <v>نام 5</v>
      </c>
      <c r="C9" s="38" t="str">
        <f>'جدول ورود اطلاعات پرسنل'!C9</f>
        <v>نام خانوادگی 5</v>
      </c>
      <c r="D9" s="39">
        <f>('جدول ورود اطلاعات پرسنل'!J9*1.22)+230026</f>
        <v>230026</v>
      </c>
      <c r="E9" s="40">
        <f t="shared" si="0"/>
        <v>6900780</v>
      </c>
      <c r="F9" s="41">
        <f>((7166184*'جدول ورود اطلاعات پرسنل'!G9)/31*'جدول ورود اطلاعات پرسنل'!I9)</f>
        <v>0</v>
      </c>
      <c r="G9" s="39">
        <f>IF('جدول ورود اطلاعات پرسنل'!K9&gt;=365,(2100000/31)*'جدول ورود اطلاعات پرسنل'!I9,0)</f>
        <v>0</v>
      </c>
      <c r="H9" s="39">
        <f>((((E9+G9)/220)*1.4)*'جدول ورود اطلاعات پرسنل'!L9+(((E9+G9)/13200)*1.4)*'جدول ورود اطلاعات پرسنل'!M9)</f>
        <v>0</v>
      </c>
      <c r="I9" s="39">
        <f>IF('جدول ورود اطلاعات پرسنل'!N9&gt;=0,((D9+70000)*'جدول ورود اطلاعات پرسنل'!N9),0)</f>
        <v>0</v>
      </c>
      <c r="J9" s="39">
        <f>IF('جدول ورود اطلاعات پرسنل'!I9&gt;=30,14000000,(14000000/31)*'جدول ورود اطلاعات پرسنل'!I9)</f>
        <v>0</v>
      </c>
      <c r="K9" s="39">
        <f>IF('جدول ورود اطلاعات پرسنل'!I9&gt;=30,9000000,(9000000/31)*'جدول ورود اطلاعات پرسنل'!I9)</f>
        <v>0</v>
      </c>
      <c r="L9" s="39">
        <f>IF('جدول ورود اطلاعات پرسنل'!F9=1,(5000000/31)*'جدول ورود اطلاعات پرسنل'!I9,0)</f>
        <v>0</v>
      </c>
      <c r="M9" s="39">
        <f>'جدول ورود اطلاعات پرسنل'!O9</f>
        <v>0</v>
      </c>
      <c r="N9" s="39">
        <f>'جدول ورود اطلاعات پرسنل'!P9</f>
        <v>0</v>
      </c>
      <c r="O9" s="39">
        <f>D9*'جدول ورود اطلاعات پرسنل'!I9</f>
        <v>0</v>
      </c>
      <c r="P9" s="42">
        <f t="shared" si="1"/>
        <v>0</v>
      </c>
      <c r="Q9" s="43">
        <f t="shared" si="2"/>
        <v>0</v>
      </c>
      <c r="R9" s="44">
        <f t="shared" si="3"/>
        <v>0</v>
      </c>
      <c r="S9" s="41">
        <f t="shared" si="4"/>
        <v>0</v>
      </c>
      <c r="T9" s="39">
        <f t="shared" si="5"/>
        <v>0</v>
      </c>
      <c r="U9" s="38">
        <v>0</v>
      </c>
      <c r="V9" s="45">
        <v>0</v>
      </c>
      <c r="W9" s="42">
        <f t="shared" si="6"/>
        <v>0</v>
      </c>
    </row>
    <row r="10" spans="1:23" ht="76.5" customHeight="1" thickBot="1" x14ac:dyDescent="0.25">
      <c r="A10" s="79" t="s">
        <v>67</v>
      </c>
      <c r="B10" s="80"/>
      <c r="C10" s="80"/>
      <c r="D10" s="80"/>
      <c r="E10" s="81"/>
      <c r="F10" s="47">
        <f>SUM(F5:F9)</f>
        <v>0</v>
      </c>
      <c r="G10" s="47">
        <f t="shared" ref="G10:W10" si="7">SUM(G5:G9)</f>
        <v>0</v>
      </c>
      <c r="H10" s="47">
        <f t="shared" si="7"/>
        <v>0</v>
      </c>
      <c r="I10" s="47">
        <f t="shared" si="7"/>
        <v>0</v>
      </c>
      <c r="J10" s="47">
        <f t="shared" si="7"/>
        <v>0</v>
      </c>
      <c r="K10" s="47">
        <f t="shared" si="7"/>
        <v>0</v>
      </c>
      <c r="L10" s="47">
        <f t="shared" si="7"/>
        <v>0</v>
      </c>
      <c r="M10" s="47">
        <f t="shared" si="7"/>
        <v>0</v>
      </c>
      <c r="N10" s="47">
        <f t="shared" si="7"/>
        <v>0</v>
      </c>
      <c r="O10" s="47">
        <f t="shared" si="7"/>
        <v>0</v>
      </c>
      <c r="P10" s="47">
        <f t="shared" si="7"/>
        <v>0</v>
      </c>
      <c r="Q10" s="47">
        <f t="shared" si="7"/>
        <v>0</v>
      </c>
      <c r="R10" s="47">
        <f t="shared" si="7"/>
        <v>0</v>
      </c>
      <c r="S10" s="47">
        <f t="shared" si="7"/>
        <v>0</v>
      </c>
      <c r="T10" s="47">
        <f t="shared" si="7"/>
        <v>0</v>
      </c>
      <c r="U10" s="47">
        <f t="shared" si="7"/>
        <v>0</v>
      </c>
      <c r="V10" s="47">
        <f t="shared" si="7"/>
        <v>0</v>
      </c>
      <c r="W10" s="47">
        <f t="shared" si="7"/>
        <v>0</v>
      </c>
    </row>
    <row r="11" spans="1:23" ht="27.75" hidden="1" customHeight="1" x14ac:dyDescent="0.2">
      <c r="A11" s="36">
        <f>COLUMN()</f>
        <v>1</v>
      </c>
      <c r="B11" s="36">
        <f>COLUMN()</f>
        <v>2</v>
      </c>
      <c r="C11" s="36">
        <f>COLUMN()</f>
        <v>3</v>
      </c>
      <c r="D11" s="36">
        <f>COLUMN()</f>
        <v>4</v>
      </c>
      <c r="E11" s="36">
        <f>COLUMN()</f>
        <v>5</v>
      </c>
      <c r="F11" s="36">
        <f>COLUMN()</f>
        <v>6</v>
      </c>
      <c r="G11" s="36">
        <f>COLUMN()</f>
        <v>7</v>
      </c>
      <c r="H11" s="36">
        <f>COLUMN()</f>
        <v>8</v>
      </c>
      <c r="I11" s="36">
        <f>COLUMN()</f>
        <v>9</v>
      </c>
      <c r="J11" s="36">
        <f>COLUMN()</f>
        <v>10</v>
      </c>
      <c r="K11" s="36">
        <f>COLUMN()</f>
        <v>11</v>
      </c>
      <c r="L11" s="36">
        <f>COLUMN()</f>
        <v>12</v>
      </c>
      <c r="M11" s="36">
        <f>COLUMN()</f>
        <v>13</v>
      </c>
      <c r="N11" s="36">
        <f>COLUMN()</f>
        <v>14</v>
      </c>
      <c r="O11" s="36">
        <f>COLUMN()</f>
        <v>15</v>
      </c>
      <c r="P11" s="36">
        <f>COLUMN()</f>
        <v>16</v>
      </c>
      <c r="Q11" s="36">
        <f>COLUMN()</f>
        <v>17</v>
      </c>
      <c r="R11" s="36">
        <f>COLUMN()</f>
        <v>18</v>
      </c>
      <c r="S11" s="36">
        <f>COLUMN()</f>
        <v>19</v>
      </c>
      <c r="T11" s="36">
        <f>COLUMN()</f>
        <v>20</v>
      </c>
      <c r="U11" s="36">
        <f>COLUMN()</f>
        <v>21</v>
      </c>
      <c r="V11" s="36">
        <f>COLUMN()</f>
        <v>22</v>
      </c>
    </row>
    <row r="12" spans="1:23" ht="26.25" x14ac:dyDescent="0.2">
      <c r="A12" s="52"/>
      <c r="C12" s="53"/>
      <c r="D12" s="54"/>
      <c r="E12" s="54"/>
      <c r="F12" s="55"/>
      <c r="G12" s="55"/>
      <c r="H12" s="85" t="s">
        <v>5</v>
      </c>
      <c r="I12" s="85"/>
      <c r="J12" s="85"/>
      <c r="K12" s="85"/>
      <c r="L12" s="56"/>
      <c r="M12" s="61"/>
      <c r="N12" s="61"/>
      <c r="O12" s="57">
        <f>P10*7%</f>
        <v>0</v>
      </c>
      <c r="P12" s="69" t="s">
        <v>6</v>
      </c>
      <c r="Q12" s="69"/>
      <c r="R12" s="58"/>
      <c r="S12" s="59">
        <f>P10*20%</f>
        <v>0</v>
      </c>
      <c r="T12" s="57"/>
      <c r="U12" s="82" t="s">
        <v>81</v>
      </c>
      <c r="V12" s="82"/>
      <c r="W12" s="82"/>
    </row>
    <row r="13" spans="1:23" ht="26.25" x14ac:dyDescent="0.2">
      <c r="P13" s="69" t="s">
        <v>25</v>
      </c>
      <c r="Q13" s="69"/>
      <c r="S13" s="59">
        <f>(P10-P9)*0.03</f>
        <v>0</v>
      </c>
      <c r="T13" s="57"/>
      <c r="U13" s="59">
        <f>S12+S13+O12</f>
        <v>0</v>
      </c>
      <c r="V13" s="59"/>
    </row>
    <row r="17" spans="3:19" ht="21" x14ac:dyDescent="0.2">
      <c r="C17" s="60" t="s">
        <v>19</v>
      </c>
      <c r="F17" s="60" t="s">
        <v>20</v>
      </c>
      <c r="K17" s="60" t="s">
        <v>4</v>
      </c>
      <c r="L17" s="60"/>
      <c r="M17" s="60"/>
      <c r="N17" s="60"/>
    </row>
    <row r="19" spans="3:19" x14ac:dyDescent="0.2">
      <c r="Q19" s="51"/>
      <c r="R19" s="51"/>
      <c r="S19" s="51"/>
    </row>
    <row r="20" spans="3:19" x14ac:dyDescent="0.2">
      <c r="Q20" s="51"/>
      <c r="R20" s="51"/>
    </row>
  </sheetData>
  <sheetProtection algorithmName="SHA-512" hashValue="Bt5MsaSWA19lXiBaI4T2inRIyKZZWJfaXbpuIh9ECsi68smo3f8eFTJxnLcLECx7mehgZcRotwOg192tIKCSuw==" saltValue="B/xf4N/IuIIkVAMX/WE2ow==" spinCount="100000" sheet="1" objects="1" scenarios="1"/>
  <mergeCells count="34">
    <mergeCell ref="A2:E2"/>
    <mergeCell ref="V1:W1"/>
    <mergeCell ref="T1:U1"/>
    <mergeCell ref="A1:S1"/>
    <mergeCell ref="W2:W4"/>
    <mergeCell ref="I3:I4"/>
    <mergeCell ref="G3:G4"/>
    <mergeCell ref="A3:A4"/>
    <mergeCell ref="E3:E4"/>
    <mergeCell ref="M3:M4"/>
    <mergeCell ref="N3:N4"/>
    <mergeCell ref="A10:E10"/>
    <mergeCell ref="U12:W12"/>
    <mergeCell ref="P3:P4"/>
    <mergeCell ref="Q3:Q4"/>
    <mergeCell ref="P12:Q12"/>
    <mergeCell ref="H12:K12"/>
    <mergeCell ref="K3:K4"/>
    <mergeCell ref="O3:O4"/>
    <mergeCell ref="B3:B4"/>
    <mergeCell ref="C3:C4"/>
    <mergeCell ref="R3:R4"/>
    <mergeCell ref="F3:F4"/>
    <mergeCell ref="H3:H4"/>
    <mergeCell ref="J3:J4"/>
    <mergeCell ref="D3:D4"/>
    <mergeCell ref="L3:L4"/>
    <mergeCell ref="P13:Q13"/>
    <mergeCell ref="F2:R2"/>
    <mergeCell ref="S2:V2"/>
    <mergeCell ref="S3:S4"/>
    <mergeCell ref="T3:T4"/>
    <mergeCell ref="U3:U4"/>
    <mergeCell ref="V3:V4"/>
  </mergeCells>
  <printOptions horizontalCentered="1"/>
  <pageMargins left="0" right="0" top="0.15748031496062992" bottom="0" header="0.15748031496062992" footer="0.15748031496062992"/>
  <pageSetup paperSize="9" scale="43" orientation="landscape" r:id="rId1"/>
  <headerFooter alignWithMargins="0">
    <oddHeader>&amp;L&amp;"B Nazanin,Bold"&amp;12صفحه &amp;P از &amp;N</oddHeader>
    <oddFooter>&amp;R&amp;"B Nazanin,Bold"&amp;12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H27"/>
  <sheetViews>
    <sheetView rightToLeft="1" view="pageBreakPreview" zoomScale="130" zoomScaleSheetLayoutView="130" workbookViewId="0">
      <selection activeCell="E13" sqref="E13:F13"/>
    </sheetView>
  </sheetViews>
  <sheetFormatPr defaultColWidth="9.140625" defaultRowHeight="15.75" x14ac:dyDescent="0.2"/>
  <cols>
    <col min="1" max="1" width="9.140625" style="13"/>
    <col min="2" max="2" width="19.140625" style="13" customWidth="1"/>
    <col min="3" max="3" width="5.42578125" style="13" customWidth="1"/>
    <col min="4" max="4" width="14.42578125" style="13" customWidth="1"/>
    <col min="5" max="5" width="15" style="13" customWidth="1"/>
    <col min="6" max="6" width="12.140625" style="13" customWidth="1"/>
    <col min="7" max="7" width="14.28515625" style="13" customWidth="1"/>
    <col min="8" max="8" width="4.28515625" style="13" customWidth="1"/>
    <col min="9" max="16384" width="9.140625" style="13"/>
  </cols>
  <sheetData>
    <row r="1" spans="2:8" x14ac:dyDescent="0.2">
      <c r="B1" s="121"/>
      <c r="C1" s="121"/>
      <c r="D1" s="121"/>
      <c r="E1" s="121"/>
      <c r="F1" s="121"/>
      <c r="G1" s="121"/>
      <c r="H1" s="121"/>
    </row>
    <row r="2" spans="2:8" ht="24.75" customHeight="1" x14ac:dyDescent="0.2">
      <c r="B2" s="120" t="s">
        <v>110</v>
      </c>
      <c r="C2" s="120"/>
      <c r="D2" s="120"/>
      <c r="E2" s="120"/>
      <c r="F2" s="120"/>
      <c r="G2" s="120"/>
      <c r="H2" s="19"/>
    </row>
    <row r="3" spans="2:8" ht="24.75" customHeight="1" thickBot="1" x14ac:dyDescent="0.25">
      <c r="B3" s="119" t="s">
        <v>78</v>
      </c>
      <c r="C3" s="119"/>
      <c r="D3" s="119"/>
      <c r="E3" s="119"/>
      <c r="F3" s="119"/>
      <c r="G3" s="119"/>
      <c r="H3" s="19"/>
    </row>
    <row r="4" spans="2:8" ht="18.75" customHeight="1" x14ac:dyDescent="0.2">
      <c r="B4" s="20" t="s">
        <v>34</v>
      </c>
      <c r="C4" s="128">
        <v>14</v>
      </c>
      <c r="D4" s="128"/>
      <c r="E4" s="25" t="s">
        <v>62</v>
      </c>
      <c r="F4" s="26" t="str">
        <f>VLOOKUP(C4,'جدول ورود اطلاعات پرسنل'!A1:P9,8,0)</f>
        <v>فروردین</v>
      </c>
      <c r="G4" s="27" t="s">
        <v>63</v>
      </c>
    </row>
    <row r="5" spans="2:8" ht="18.75" customHeight="1" x14ac:dyDescent="0.2">
      <c r="B5" s="21" t="s">
        <v>9</v>
      </c>
      <c r="C5" s="123" t="str">
        <f>VLOOKUP(C4,'جدول محاسبه حقوق و دستمزد'!A1:W13,2,0)</f>
        <v>نام 4</v>
      </c>
      <c r="D5" s="123"/>
      <c r="E5" s="22" t="s">
        <v>64</v>
      </c>
      <c r="F5" s="123" t="str">
        <f>VLOOKUP(C4,'جدول ورود اطلاعات پرسنل'!A1:P9,4,0)</f>
        <v>4</v>
      </c>
      <c r="G5" s="124"/>
    </row>
    <row r="6" spans="2:8" ht="18.75" customHeight="1" x14ac:dyDescent="0.2">
      <c r="B6" s="21" t="s">
        <v>10</v>
      </c>
      <c r="C6" s="123" t="str">
        <f>VLOOKUP(C4,'جدول محاسبه حقوق و دستمزد'!A1:W13,3,0)</f>
        <v>نام خانوادگی 4</v>
      </c>
      <c r="D6" s="123"/>
      <c r="E6" s="22" t="s">
        <v>65</v>
      </c>
      <c r="F6" s="123" t="str">
        <f>VLOOKUP(C4,'جدول ورود اطلاعات پرسنل'!A1:P9,5,0)</f>
        <v>004</v>
      </c>
      <c r="G6" s="124"/>
    </row>
    <row r="7" spans="2:8" ht="18.75" customHeight="1" x14ac:dyDescent="0.2">
      <c r="B7" s="21" t="s">
        <v>76</v>
      </c>
      <c r="C7" s="123">
        <f>VLOOKUP(C4,'جدول ورود اطلاعات پرسنل'!A1:P9,9,0)</f>
        <v>0</v>
      </c>
      <c r="D7" s="123"/>
      <c r="E7" s="22" t="s">
        <v>28</v>
      </c>
      <c r="F7" s="123">
        <f>VLOOKUP(C4,'جدول ورود اطلاعات پرسنل'!A1:P9,12,0)</f>
        <v>0</v>
      </c>
      <c r="G7" s="124"/>
    </row>
    <row r="8" spans="2:8" ht="18.75" customHeight="1" thickBot="1" x14ac:dyDescent="0.25">
      <c r="B8" s="23" t="s">
        <v>77</v>
      </c>
      <c r="C8" s="125">
        <f>VLOOKUP(C4,'جدول ورود اطلاعات پرسنل'!A1:P9,16,0)</f>
        <v>0</v>
      </c>
      <c r="D8" s="125"/>
      <c r="E8" s="24"/>
      <c r="F8" s="125"/>
      <c r="G8" s="126"/>
    </row>
    <row r="9" spans="2:8" ht="16.5" thickBot="1" x14ac:dyDescent="0.25">
      <c r="B9" s="127"/>
      <c r="C9" s="127"/>
      <c r="D9" s="127"/>
      <c r="E9" s="127"/>
      <c r="F9" s="127"/>
      <c r="G9" s="127"/>
    </row>
    <row r="10" spans="2:8" ht="26.45" customHeight="1" thickBot="1" x14ac:dyDescent="0.25">
      <c r="B10" s="135" t="s">
        <v>26</v>
      </c>
      <c r="C10" s="135"/>
      <c r="D10" s="135"/>
      <c r="E10" s="136" t="s">
        <v>27</v>
      </c>
      <c r="F10" s="136"/>
      <c r="G10" s="136"/>
    </row>
    <row r="11" spans="2:8" ht="21.75" customHeight="1" x14ac:dyDescent="0.2">
      <c r="B11" s="141" t="s">
        <v>70</v>
      </c>
      <c r="C11" s="142"/>
      <c r="D11" s="28">
        <f>VLOOKUP(C4,'جدول محاسبه حقوق و دستمزد'!A1:W13,4,0)</f>
        <v>230026</v>
      </c>
      <c r="E11" s="141" t="s">
        <v>68</v>
      </c>
      <c r="F11" s="142"/>
      <c r="G11" s="28">
        <f>VLOOKUP(C4,'جدول محاسبه حقوق و دستمزد'!A1:W13,19,0)</f>
        <v>0</v>
      </c>
    </row>
    <row r="12" spans="2:8" ht="21.75" customHeight="1" x14ac:dyDescent="0.2">
      <c r="B12" s="133" t="s">
        <v>12</v>
      </c>
      <c r="C12" s="134"/>
      <c r="D12" s="29">
        <f>VLOOKUP(C4,'جدول محاسبه حقوق و دستمزد'!A1:W13,15,0)</f>
        <v>0</v>
      </c>
      <c r="E12" s="133" t="s">
        <v>11</v>
      </c>
      <c r="F12" s="134"/>
      <c r="G12" s="29">
        <f>VLOOKUP(C4,'جدول محاسبه حقوق و دستمزد'!A1:W13,20,0)</f>
        <v>0</v>
      </c>
    </row>
    <row r="13" spans="2:8" ht="21.75" customHeight="1" x14ac:dyDescent="0.2">
      <c r="B13" s="133" t="s">
        <v>13</v>
      </c>
      <c r="C13" s="134"/>
      <c r="D13" s="29">
        <f>VLOOKUP(C4,'جدول محاسبه حقوق و دستمزد'!A1:W13,6,0)</f>
        <v>0</v>
      </c>
      <c r="E13" s="133" t="s">
        <v>69</v>
      </c>
      <c r="F13" s="134"/>
      <c r="G13" s="29">
        <f>VLOOKUP(C4,'جدول محاسبه حقوق و دستمزد'!A1:W13,21,0)</f>
        <v>0</v>
      </c>
    </row>
    <row r="14" spans="2:8" ht="21.75" customHeight="1" x14ac:dyDescent="0.2">
      <c r="B14" s="133" t="s">
        <v>71</v>
      </c>
      <c r="C14" s="134"/>
      <c r="D14" s="29">
        <f>VLOOKUP(C4,'جدول محاسبه حقوق و دستمزد'!A1:W13,11,0)</f>
        <v>0</v>
      </c>
      <c r="E14" s="133" t="s">
        <v>75</v>
      </c>
      <c r="F14" s="134"/>
      <c r="G14" s="29">
        <f>VLOOKUP(C4,'جدول محاسبه حقوق و دستمزد'!A1:W13,22,0)</f>
        <v>0</v>
      </c>
    </row>
    <row r="15" spans="2:8" ht="21.75" customHeight="1" x14ac:dyDescent="0.2">
      <c r="B15" s="133" t="s">
        <v>29</v>
      </c>
      <c r="C15" s="134"/>
      <c r="D15" s="29">
        <f>VLOOKUP(C4,'جدول محاسبه حقوق و دستمزد'!A1:W13,10,0)</f>
        <v>0</v>
      </c>
      <c r="E15" s="21"/>
      <c r="F15" s="30"/>
      <c r="G15" s="31"/>
    </row>
    <row r="16" spans="2:8" ht="21.75" customHeight="1" x14ac:dyDescent="0.2">
      <c r="B16" s="133" t="s">
        <v>15</v>
      </c>
      <c r="C16" s="134"/>
      <c r="D16" s="29">
        <f>VLOOKUP(C4,'جدول محاسبه حقوق و دستمزد'!A1:W13,7,0)</f>
        <v>0</v>
      </c>
      <c r="E16" s="21"/>
      <c r="F16" s="30"/>
      <c r="G16" s="31"/>
    </row>
    <row r="17" spans="2:8" ht="21.75" customHeight="1" x14ac:dyDescent="0.2">
      <c r="B17" s="133" t="s">
        <v>30</v>
      </c>
      <c r="C17" s="134"/>
      <c r="D17" s="29">
        <f>VLOOKUP(C4,'جدول محاسبه حقوق و دستمزد'!A1:W13,8,0)</f>
        <v>0</v>
      </c>
      <c r="E17" s="21"/>
      <c r="F17" s="30"/>
      <c r="G17" s="31"/>
    </row>
    <row r="18" spans="2:8" ht="21.75" customHeight="1" x14ac:dyDescent="0.2">
      <c r="B18" s="133" t="s">
        <v>85</v>
      </c>
      <c r="C18" s="134"/>
      <c r="D18" s="29">
        <f>VLOOKUP(C4,'جدول محاسبه حقوق و دستمزد'!A1:W13,13,0)</f>
        <v>0</v>
      </c>
      <c r="E18" s="21"/>
      <c r="F18" s="30"/>
      <c r="G18" s="31"/>
    </row>
    <row r="19" spans="2:8" ht="21.75" customHeight="1" x14ac:dyDescent="0.2">
      <c r="B19" s="133" t="s">
        <v>86</v>
      </c>
      <c r="C19" s="134"/>
      <c r="D19" s="29">
        <f>VLOOKUP(C4,'جدول محاسبه حقوق و دستمزد'!A2:W14,14,0)</f>
        <v>0</v>
      </c>
      <c r="E19" s="21"/>
      <c r="F19" s="30"/>
      <c r="G19" s="31"/>
    </row>
    <row r="20" spans="2:8" ht="21.75" customHeight="1" x14ac:dyDescent="0.2">
      <c r="B20" s="133" t="s">
        <v>72</v>
      </c>
      <c r="C20" s="134"/>
      <c r="D20" s="29">
        <f>VLOOKUP(C4,'جدول محاسبه حقوق و دستمزد'!A1:W13,12,0)</f>
        <v>0</v>
      </c>
      <c r="E20" s="21"/>
      <c r="F20" s="30"/>
      <c r="G20" s="31"/>
    </row>
    <row r="21" spans="2:8" ht="27.75" customHeight="1" thickBot="1" x14ac:dyDescent="0.25">
      <c r="B21" s="138" t="s">
        <v>73</v>
      </c>
      <c r="C21" s="139"/>
      <c r="D21" s="32">
        <f>VLOOKUP(C4,'جدول محاسبه حقوق و دستمزد'!A1:W13,9,0)</f>
        <v>0</v>
      </c>
      <c r="E21" s="24"/>
      <c r="F21" s="24"/>
      <c r="G21" s="33"/>
    </row>
    <row r="22" spans="2:8" ht="20.100000000000001" customHeight="1" x14ac:dyDescent="0.2">
      <c r="B22" s="140" t="s">
        <v>33</v>
      </c>
      <c r="C22" s="137"/>
      <c r="D22" s="34">
        <f>VLOOKUP(C4,'جدول محاسبه حقوق و دستمزد'!A1:W13,18,0)</f>
        <v>0</v>
      </c>
      <c r="E22" s="137" t="s">
        <v>32</v>
      </c>
      <c r="F22" s="137"/>
      <c r="G22" s="35">
        <f>G11+G12+G13+G14</f>
        <v>0</v>
      </c>
    </row>
    <row r="23" spans="2:8" ht="28.9" customHeight="1" thickBot="1" x14ac:dyDescent="0.25">
      <c r="B23" s="129" t="s">
        <v>74</v>
      </c>
      <c r="C23" s="130"/>
      <c r="D23" s="130"/>
      <c r="E23" s="131">
        <f>VLOOKUP(C4,'جدول محاسبه حقوق و دستمزد'!A1:W13,23,0)</f>
        <v>0</v>
      </c>
      <c r="F23" s="131"/>
      <c r="G23" s="132"/>
    </row>
    <row r="24" spans="2:8" x14ac:dyDescent="0.2">
      <c r="B24" s="121"/>
      <c r="C24" s="121"/>
      <c r="D24" s="121"/>
      <c r="E24" s="121"/>
      <c r="F24" s="121"/>
      <c r="G24" s="121"/>
      <c r="H24" s="121"/>
    </row>
    <row r="25" spans="2:8" ht="30.6" customHeight="1" x14ac:dyDescent="0.2">
      <c r="B25" s="122" t="s">
        <v>87</v>
      </c>
      <c r="C25" s="122"/>
      <c r="D25" s="122"/>
      <c r="E25" s="122"/>
      <c r="F25" s="122"/>
      <c r="G25" s="122"/>
      <c r="H25" s="122"/>
    </row>
    <row r="26" spans="2:8" ht="30.6" customHeight="1" x14ac:dyDescent="0.2">
      <c r="B26" s="122" t="s">
        <v>80</v>
      </c>
      <c r="C26" s="122"/>
      <c r="D26" s="122"/>
      <c r="E26" s="122"/>
      <c r="F26" s="122"/>
      <c r="G26" s="122"/>
      <c r="H26" s="122"/>
    </row>
    <row r="27" spans="2:8" x14ac:dyDescent="0.2">
      <c r="B27" s="121"/>
      <c r="C27" s="121"/>
      <c r="D27" s="121"/>
      <c r="E27" s="121"/>
      <c r="F27" s="121"/>
      <c r="G27" s="121"/>
      <c r="H27" s="121"/>
    </row>
  </sheetData>
  <sheetProtection algorithmName="SHA-512" hashValue="LFNfKRn+Ftn+QbBxvH7XBzwJa1Ad8j1Ed691sDwfUGX2/y2NPuCL2QSEvgeC0ZoKOw0Niez0pN0rqOXGO7lWPQ==" saltValue="nBuX4X4aFpfPK+kKdXeL2g==" spinCount="100000" sheet="1" objects="1" scenarios="1"/>
  <mergeCells count="38">
    <mergeCell ref="B19:C19"/>
    <mergeCell ref="B1:H1"/>
    <mergeCell ref="E22:F22"/>
    <mergeCell ref="B15:C15"/>
    <mergeCell ref="B16:C16"/>
    <mergeCell ref="B17:C17"/>
    <mergeCell ref="B18:C18"/>
    <mergeCell ref="B20:C20"/>
    <mergeCell ref="E14:F14"/>
    <mergeCell ref="B12:C12"/>
    <mergeCell ref="B13:C13"/>
    <mergeCell ref="B21:C21"/>
    <mergeCell ref="B22:C22"/>
    <mergeCell ref="B11:C11"/>
    <mergeCell ref="E11:F11"/>
    <mergeCell ref="E12:F12"/>
    <mergeCell ref="E13:F13"/>
    <mergeCell ref="F5:G5"/>
    <mergeCell ref="F6:G6"/>
    <mergeCell ref="B14:C14"/>
    <mergeCell ref="B10:D10"/>
    <mergeCell ref="E10:G10"/>
    <mergeCell ref="B3:G3"/>
    <mergeCell ref="B2:G2"/>
    <mergeCell ref="B27:H27"/>
    <mergeCell ref="B26:H26"/>
    <mergeCell ref="B25:H25"/>
    <mergeCell ref="B24:H24"/>
    <mergeCell ref="F7:G7"/>
    <mergeCell ref="F8:G8"/>
    <mergeCell ref="C8:D8"/>
    <mergeCell ref="B9:G9"/>
    <mergeCell ref="C4:D4"/>
    <mergeCell ref="C7:D7"/>
    <mergeCell ref="B23:D23"/>
    <mergeCell ref="E23:G23"/>
    <mergeCell ref="C5:D5"/>
    <mergeCell ref="C6:D6"/>
  </mergeCells>
  <printOptions horizontalCentered="1"/>
  <pageMargins left="0" right="0.23622047244094491" top="0" bottom="0" header="0" footer="0"/>
  <pageSetup paperSize="11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جدول ورود اطلاعات پرسنل</vt:lpstr>
      <vt:lpstr>جدول محاسبه حقوق و دستمزد</vt:lpstr>
      <vt:lpstr>فیش حقوقی</vt:lpstr>
      <vt:lpstr>'جدول محاسبه حقوق و دستمزد'!Print_Area</vt:lpstr>
      <vt:lpstr>'جدول ورود اطلاعات پرسنل'!Print_Area</vt:lpstr>
      <vt:lpstr>'فیش حقوقی'!Print_Area</vt:lpstr>
      <vt:lpstr>'جدول محاسبه حقوق و دستمزد'!Print_Titles</vt:lpstr>
      <vt:lpstr>tavieh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نمونه فایل حقوق و دستمزد 1403</dc:title>
  <dc:creator>tarazban.com</dc:creator>
  <cp:lastModifiedBy>Abrishami</cp:lastModifiedBy>
  <cp:lastPrinted>2024-04-20T10:28:34Z</cp:lastPrinted>
  <dcterms:created xsi:type="dcterms:W3CDTF">2024-03-27T12:47:24Z</dcterms:created>
  <dcterms:modified xsi:type="dcterms:W3CDTF">2024-04-21T15:54:31Z</dcterms:modified>
  <cp:version>1403</cp:version>
</cp:coreProperties>
</file>